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2 Surface Composite" sheetId="2" r:id="rId5"/>
    <sheet state="visible" name="Copy of 2 Surface Composite" sheetId="3" r:id="rId6"/>
  </sheets>
  <definedNames/>
  <calcPr/>
  <extLst>
    <ext uri="GoogleSheetsCustomDataVersion1">
      <go:sheetsCustomData xmlns:go="http://customooxmlschemas.google.com/" r:id="rId7" roundtripDataSignature="AMtx7mgSnOEu3UAtYj5IQZoMO5cBoQSYog=="/>
    </ext>
  </extLst>
</workbook>
</file>

<file path=xl/sharedStrings.xml><?xml version="1.0" encoding="utf-8"?>
<sst xmlns="http://schemas.openxmlformats.org/spreadsheetml/2006/main" count="310" uniqueCount="113">
  <si>
    <t>TOTAL COST PER 2 Surface Composite</t>
  </si>
  <si>
    <t>TOTAL COST PER CROWN+BU</t>
  </si>
  <si>
    <t>at Your Office</t>
  </si>
  <si>
    <t>at Village</t>
  </si>
  <si>
    <t>Your Office</t>
  </si>
  <si>
    <t>Cost per Package</t>
  </si>
  <si>
    <t># in Package</t>
  </si>
  <si>
    <t>2 (2x2)</t>
  </si>
  <si>
    <t>rent</t>
  </si>
  <si>
    <t>Crown Prep Procedure</t>
  </si>
  <si>
    <t>OGrady</t>
  </si>
  <si>
    <t>2 Cotton Rolls</t>
  </si>
  <si>
    <t>Staff Costs per month(Front Desk)</t>
  </si>
  <si>
    <t>WD- Village</t>
  </si>
  <si>
    <t>WD- Home</t>
  </si>
  <si>
    <t>1 ft. of Floss</t>
  </si>
  <si>
    <t>OpenDntal</t>
  </si>
  <si>
    <t>Temp Tray</t>
  </si>
  <si>
    <t>Pt Napkin</t>
  </si>
  <si>
    <t>Internet</t>
  </si>
  <si>
    <t>Temp PSV(Pink)</t>
  </si>
  <si>
    <t>HiVac Tip</t>
  </si>
  <si>
    <t>13 pink impressions per cartridge</t>
  </si>
  <si>
    <t>Other E-Services</t>
  </si>
  <si>
    <t>Tip for Pink PVS</t>
  </si>
  <si>
    <t>Saliva ejector</t>
  </si>
  <si>
    <t>Utilities</t>
  </si>
  <si>
    <t>CAM Fees+debt</t>
  </si>
  <si>
    <t>Final Tray-Sided</t>
  </si>
  <si>
    <t>1 Septocaine 4%</t>
  </si>
  <si>
    <t>3M Intra-Oral Mini Syringe</t>
  </si>
  <si>
    <t>1 30 G Short Needle</t>
  </si>
  <si>
    <t>Total Costs to just open the doors</t>
  </si>
  <si>
    <t>3M Light Body</t>
  </si>
  <si>
    <t>1 Q tip</t>
  </si>
  <si>
    <t>Custom Topical Anesthetic</t>
  </si>
  <si>
    <t>hours per day</t>
  </si>
  <si>
    <t>4 Medium Nitrile Gloves</t>
  </si>
  <si>
    <t>3M Heavy Body</t>
  </si>
  <si>
    <t>for 1/8th of a heavy body PVS from HS</t>
  </si>
  <si>
    <t>Teal tip for Heavy Body</t>
  </si>
  <si>
    <t>6 Small Nitrile Gloves</t>
  </si>
  <si>
    <t>Working Days per month</t>
  </si>
  <si>
    <t>2 Masks</t>
  </si>
  <si>
    <t>Earplugs for Assistant- used all day</t>
  </si>
  <si>
    <t>Chairs going at one time</t>
  </si>
  <si>
    <t>Etch Tip</t>
  </si>
  <si>
    <t>New Neodiamond Crown Prep Bur</t>
  </si>
  <si>
    <t xml:space="preserve">A1 Pro-Temp ordered from Net32 </t>
  </si>
  <si>
    <t>Etch</t>
  </si>
  <si>
    <t>Pro-Temp Tip from Net32</t>
  </si>
  <si>
    <t>Cost for 1 hour Chair Time</t>
  </si>
  <si>
    <t>1 Microbrush for Bond</t>
  </si>
  <si>
    <t>WD- East Numbers</t>
  </si>
  <si>
    <t>Quick-Stat</t>
  </si>
  <si>
    <t>Quick-Stat Yellow Tip w/ Brush</t>
  </si>
  <si>
    <t>Composite</t>
  </si>
  <si>
    <t>1 Drop 3M Universal Prime+Bond</t>
  </si>
  <si>
    <t>X-Ray Sheath</t>
  </si>
  <si>
    <t>WD-Crete</t>
  </si>
  <si>
    <t>IO Camera Sheath- Daryou (Amazon)</t>
  </si>
  <si>
    <t>WD- East Numbers- after renovations</t>
  </si>
  <si>
    <t>Filtek Supreme Flowable Composite</t>
  </si>
  <si>
    <t>Tofflemier Band</t>
  </si>
  <si>
    <t>Wedge</t>
  </si>
  <si>
    <t>2 drops Temp-Bond from tubes</t>
  </si>
  <si>
    <t>Enhance Polishing Cup</t>
  </si>
  <si>
    <t>1 Sheet of Mixing Pad Paper</t>
  </si>
  <si>
    <t>$2.40/100</t>
  </si>
  <si>
    <t>1 Microbrush for Vasoline on Buildup</t>
  </si>
  <si>
    <t>1/2 Sheet of Blue Articulating Paper</t>
  </si>
  <si>
    <t>Vasoline</t>
  </si>
  <si>
    <t>500/package of vasoline</t>
  </si>
  <si>
    <t>Precision Aesthetics Lab Fee for Zirconia</t>
  </si>
  <si>
    <t>Steri Bag 3 x 4in</t>
  </si>
  <si>
    <t>Steri Bag 3 x 9 in.</t>
  </si>
  <si>
    <t>Steri Bag 2 x 3 in.</t>
  </si>
  <si>
    <t>Steri Bag 3 x 5 in.</t>
  </si>
  <si>
    <t>Spray cavicide</t>
  </si>
  <si>
    <t>2 Cavicide Wipes for Room</t>
  </si>
  <si>
    <t>1 Cavicide Wipe for Tray</t>
  </si>
  <si>
    <t>1 Hr chair time</t>
  </si>
  <si>
    <t>WD-Northeast</t>
  </si>
  <si>
    <t>1 Hr assistant time</t>
  </si>
  <si>
    <t>&lt;----- Assisting Time</t>
  </si>
  <si>
    <t>BU</t>
  </si>
  <si>
    <t>1 Microbrush</t>
  </si>
  <si>
    <t>Black Flowable Composite Tip</t>
  </si>
  <si>
    <t>$75 Medicaid payment for 2 Surface Filling</t>
  </si>
  <si>
    <t>Total</t>
  </si>
  <si>
    <t>SEAT</t>
  </si>
  <si>
    <t>Doctor pay</t>
  </si>
  <si>
    <t>Sterilization Bag</t>
  </si>
  <si>
    <t>WD-Piedmont</t>
  </si>
  <si>
    <t>floss</t>
  </si>
  <si>
    <t>2 cotton rolls</t>
  </si>
  <si>
    <t>Rely X Capsule</t>
  </si>
  <si>
    <t>40 Min Chair Time</t>
  </si>
  <si>
    <t>WD-South</t>
  </si>
  <si>
    <t>Paper tray cover</t>
  </si>
  <si>
    <t>Pt. Napkin</t>
  </si>
  <si>
    <t>Hi Vac Tip</t>
  </si>
  <si>
    <t>Saliva Ejector</t>
  </si>
  <si>
    <t>Cavicide</t>
  </si>
  <si>
    <t>40 Min Assistant Time</t>
  </si>
  <si>
    <t>30 Min Chair Time</t>
  </si>
  <si>
    <t>Supplies</t>
  </si>
  <si>
    <t>30 Min Assistant Time</t>
  </si>
  <si>
    <t>Profit</t>
  </si>
  <si>
    <t>$59 Medicaid payment for 1 Surface Filling</t>
  </si>
  <si>
    <t>$87 Medicaid payment for 3 Surface Filling</t>
  </si>
  <si>
    <t>50 Min Chair Time</t>
  </si>
  <si>
    <t>50 Min Assistant Time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</si>
</sst>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5">
    <font>
      <sz val="10.0"/>
      <color rgb="FF000000"/>
      <name val="Arial"/>
    </font>
    <font>
      <color theme="1"/>
      <name val="Calibri"/>
    </font>
    <font>
      <b/>
      <sz val="14.0"/>
      <color theme="1"/>
      <name val="Calibri"/>
    </font>
    <font>
      <b/>
      <color theme="1"/>
      <name val="Calibri"/>
    </font>
    <font>
      <b/>
      <sz val="12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rgb="FFFFFF00"/>
        <bgColor rgb="FFFFFF00"/>
      </patternFill>
    </fill>
    <fill>
      <patternFill patternType="solid">
        <fgColor rgb="FFA2C4C9"/>
        <bgColor rgb="FFA2C4C9"/>
      </patternFill>
    </fill>
    <fill>
      <patternFill patternType="solid">
        <fgColor rgb="FF76A5AF"/>
        <bgColor rgb="FF76A5AF"/>
      </patternFill>
    </fill>
    <fill>
      <patternFill patternType="solid">
        <fgColor rgb="FF00FFFF"/>
        <bgColor rgb="FF00FFFF"/>
      </patternFill>
    </fill>
    <fill>
      <patternFill patternType="solid">
        <fgColor rgb="FFC27BA0"/>
        <bgColor rgb="FFC27BA0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  <fill>
      <patternFill patternType="solid">
        <fgColor rgb="FF3C78D8"/>
        <bgColor rgb="FF3C78D8"/>
      </patternFill>
    </fill>
    <fill>
      <patternFill patternType="solid">
        <fgColor rgb="FFEAD1DC"/>
        <bgColor rgb="FFEAD1DC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0" fontId="2" numFmtId="0" xfId="0" applyBorder="1" applyFont="1"/>
    <xf borderId="2" fillId="0" fontId="2" numFmtId="164" xfId="0" applyBorder="1" applyFont="1" applyNumberFormat="1"/>
    <xf borderId="0" fillId="0" fontId="1" numFmtId="0" xfId="0" applyFont="1"/>
    <xf borderId="0" fillId="0" fontId="1" numFmtId="0" xfId="0" applyAlignment="1" applyFont="1">
      <alignment horizontal="center" shrinkToFit="0" wrapText="1"/>
    </xf>
    <xf borderId="3" fillId="2" fontId="1" numFmtId="165" xfId="0" applyBorder="1" applyFill="1" applyFont="1" applyNumberFormat="1"/>
    <xf borderId="0" fillId="3" fontId="1" numFmtId="0" xfId="0" applyFill="1" applyFont="1"/>
    <xf borderId="4" fillId="2" fontId="1" numFmtId="0" xfId="0" applyBorder="1" applyFont="1"/>
    <xf borderId="0" fillId="3" fontId="1" numFmtId="164" xfId="0" applyFont="1" applyNumberFormat="1"/>
    <xf borderId="5" fillId="2" fontId="1" numFmtId="0" xfId="0" applyBorder="1" applyFont="1"/>
    <xf borderId="0" fillId="0" fontId="1" numFmtId="165" xfId="0" applyFont="1" applyNumberFormat="1"/>
    <xf borderId="6" fillId="4" fontId="1" numFmtId="165" xfId="0" applyBorder="1" applyFill="1" applyFont="1" applyNumberFormat="1"/>
    <xf borderId="0" fillId="2" fontId="1" numFmtId="0" xfId="0" applyFont="1"/>
    <xf borderId="7" fillId="2" fontId="1" numFmtId="0" xfId="0" applyBorder="1" applyFont="1"/>
    <xf borderId="6" fillId="2" fontId="1" numFmtId="165" xfId="0" applyBorder="1" applyFont="1" applyNumberFormat="1"/>
    <xf borderId="3" fillId="5" fontId="1" numFmtId="165" xfId="0" applyBorder="1" applyFill="1" applyFont="1" applyNumberFormat="1"/>
    <xf borderId="4" fillId="5" fontId="1" numFmtId="0" xfId="0" applyBorder="1" applyFont="1"/>
    <xf borderId="5" fillId="5" fontId="1" numFmtId="0" xfId="0" applyBorder="1" applyFont="1"/>
    <xf borderId="0" fillId="5" fontId="1" numFmtId="0" xfId="0" applyFont="1"/>
    <xf borderId="7" fillId="5" fontId="1" numFmtId="0" xfId="0" applyBorder="1" applyFont="1"/>
    <xf borderId="8" fillId="4" fontId="1" numFmtId="165" xfId="0" applyBorder="1" applyFont="1" applyNumberFormat="1"/>
    <xf borderId="9" fillId="2" fontId="1" numFmtId="0" xfId="0" applyBorder="1" applyFont="1"/>
    <xf borderId="10" fillId="2" fontId="1" numFmtId="0" xfId="0" applyBorder="1" applyFont="1"/>
    <xf borderId="6" fillId="5" fontId="1" numFmtId="165" xfId="0" applyBorder="1" applyFont="1" applyNumberFormat="1"/>
    <xf borderId="8" fillId="2" fontId="1" numFmtId="165" xfId="0" applyBorder="1" applyFont="1" applyNumberFormat="1"/>
    <xf borderId="9" fillId="5" fontId="1" numFmtId="0" xfId="0" applyBorder="1" applyFont="1"/>
    <xf borderId="10" fillId="5" fontId="1" numFmtId="0" xfId="0" applyBorder="1" applyFont="1"/>
    <xf borderId="6" fillId="2" fontId="1" numFmtId="0" xfId="0" applyBorder="1" applyFont="1"/>
    <xf borderId="8" fillId="5" fontId="1" numFmtId="165" xfId="0" applyBorder="1" applyFont="1" applyNumberFormat="1"/>
    <xf borderId="0" fillId="2" fontId="1" numFmtId="164" xfId="0" applyFont="1" applyNumberFormat="1"/>
    <xf borderId="0" fillId="6" fontId="1" numFmtId="0" xfId="0" applyFill="1" applyFont="1"/>
    <xf borderId="6" fillId="2" fontId="1" numFmtId="164" xfId="0" applyBorder="1" applyFont="1" applyNumberFormat="1"/>
    <xf borderId="0" fillId="6" fontId="1" numFmtId="164" xfId="0" applyFont="1" applyNumberFormat="1"/>
    <xf borderId="8" fillId="2" fontId="1" numFmtId="164" xfId="0" applyBorder="1" applyFont="1" applyNumberFormat="1"/>
    <xf borderId="3" fillId="7" fontId="1" numFmtId="0" xfId="0" applyBorder="1" applyFill="1" applyFont="1"/>
    <xf borderId="0" fillId="5" fontId="1" numFmtId="164" xfId="0" applyFont="1" applyNumberFormat="1"/>
    <xf borderId="4" fillId="7" fontId="1" numFmtId="0" xfId="0" applyBorder="1" applyFont="1"/>
    <xf borderId="5" fillId="7" fontId="1" numFmtId="0" xfId="0" applyBorder="1" applyFont="1"/>
    <xf borderId="3" fillId="7" fontId="1" numFmtId="165" xfId="0" applyBorder="1" applyFont="1" applyNumberFormat="1"/>
    <xf borderId="0" fillId="7" fontId="1" numFmtId="0" xfId="0" applyFont="1"/>
    <xf borderId="0" fillId="8" fontId="1" numFmtId="0" xfId="0" applyFill="1" applyFont="1"/>
    <xf borderId="7" fillId="7" fontId="1" numFmtId="0" xfId="0" applyBorder="1" applyFont="1"/>
    <xf borderId="6" fillId="7" fontId="1" numFmtId="165" xfId="0" applyBorder="1" applyFont="1" applyNumberFormat="1"/>
    <xf borderId="3" fillId="8" fontId="1" numFmtId="165" xfId="0" applyBorder="1" applyFont="1" applyNumberFormat="1"/>
    <xf borderId="4" fillId="8" fontId="1" numFmtId="0" xfId="0" applyBorder="1" applyFont="1"/>
    <xf borderId="5" fillId="8" fontId="1" numFmtId="0" xfId="0" applyBorder="1" applyFont="1"/>
    <xf borderId="9" fillId="7" fontId="1" numFmtId="0" xfId="0" applyBorder="1" applyFont="1"/>
    <xf borderId="7" fillId="8" fontId="1" numFmtId="0" xfId="0" applyBorder="1" applyFont="1"/>
    <xf borderId="10" fillId="7" fontId="1" numFmtId="0" xfId="0" applyBorder="1" applyFont="1"/>
    <xf borderId="6" fillId="8" fontId="1" numFmtId="165" xfId="0" applyBorder="1" applyFont="1" applyNumberFormat="1"/>
    <xf borderId="8" fillId="7" fontId="1" numFmtId="165" xfId="0" applyBorder="1" applyFont="1" applyNumberFormat="1"/>
    <xf borderId="6" fillId="7" fontId="1" numFmtId="0" xfId="0" applyBorder="1" applyFont="1"/>
    <xf borderId="0" fillId="8" fontId="1" numFmtId="164" xfId="0" applyFont="1" applyNumberFormat="1"/>
    <xf borderId="9" fillId="8" fontId="1" numFmtId="0" xfId="0" applyBorder="1" applyFont="1"/>
    <xf borderId="10" fillId="8" fontId="1" numFmtId="0" xfId="0" applyBorder="1" applyFont="1"/>
    <xf borderId="8" fillId="8" fontId="1" numFmtId="165" xfId="0" applyBorder="1" applyFont="1" applyNumberFormat="1"/>
    <xf borderId="6" fillId="7" fontId="1" numFmtId="164" xfId="0" applyBorder="1" applyFont="1" applyNumberFormat="1"/>
    <xf borderId="8" fillId="7" fontId="1" numFmtId="164" xfId="0" applyBorder="1" applyFont="1" applyNumberFormat="1"/>
    <xf borderId="3" fillId="9" fontId="1" numFmtId="0" xfId="0" applyBorder="1" applyFill="1" applyFont="1"/>
    <xf borderId="4" fillId="9" fontId="1" numFmtId="0" xfId="0" applyBorder="1" applyFont="1"/>
    <xf borderId="5" fillId="9" fontId="1" numFmtId="0" xfId="0" applyBorder="1" applyFont="1"/>
    <xf borderId="3" fillId="9" fontId="1" numFmtId="165" xfId="0" applyBorder="1" applyFont="1" applyNumberFormat="1"/>
    <xf borderId="0" fillId="9" fontId="1" numFmtId="0" xfId="0" applyFont="1"/>
    <xf borderId="7" fillId="9" fontId="1" numFmtId="0" xfId="0" applyBorder="1" applyFont="1"/>
    <xf borderId="6" fillId="9" fontId="1" numFmtId="165" xfId="0" applyBorder="1" applyFont="1" applyNumberFormat="1"/>
    <xf borderId="9" fillId="9" fontId="1" numFmtId="0" xfId="0" applyBorder="1" applyFont="1"/>
    <xf borderId="10" fillId="9" fontId="1" numFmtId="0" xfId="0" applyBorder="1" applyFont="1"/>
    <xf borderId="11" fillId="0" fontId="3" numFmtId="0" xfId="0" applyBorder="1" applyFont="1"/>
    <xf borderId="11" fillId="0" fontId="3" numFmtId="165" xfId="0" applyBorder="1" applyFont="1" applyNumberFormat="1"/>
    <xf borderId="11" fillId="0" fontId="1" numFmtId="0" xfId="0" applyBorder="1" applyFont="1"/>
    <xf borderId="0" fillId="10" fontId="1" numFmtId="0" xfId="0" applyFill="1" applyFont="1"/>
    <xf borderId="0" fillId="10" fontId="1" numFmtId="164" xfId="0" applyFont="1" applyNumberFormat="1"/>
    <xf borderId="11" fillId="0" fontId="1" numFmtId="165" xfId="0" applyBorder="1" applyFont="1" applyNumberFormat="1"/>
    <xf borderId="11" fillId="0" fontId="1" numFmtId="10" xfId="0" applyBorder="1" applyFont="1" applyNumberFormat="1"/>
    <xf borderId="3" fillId="11" fontId="1" numFmtId="0" xfId="0" applyBorder="1" applyFill="1" applyFont="1"/>
    <xf borderId="8" fillId="9" fontId="1" numFmtId="165" xfId="0" applyBorder="1" applyFont="1" applyNumberFormat="1"/>
    <xf borderId="4" fillId="11" fontId="1" numFmtId="0" xfId="0" applyBorder="1" applyFont="1"/>
    <xf borderId="5" fillId="11" fontId="1" numFmtId="0" xfId="0" applyBorder="1" applyFont="1"/>
    <xf borderId="3" fillId="12" fontId="1" numFmtId="0" xfId="0" applyBorder="1" applyFill="1" applyFont="1"/>
    <xf borderId="4" fillId="12" fontId="1" numFmtId="0" xfId="0" applyBorder="1" applyFont="1"/>
    <xf borderId="0" fillId="3" fontId="1" numFmtId="10" xfId="0" applyFont="1" applyNumberFormat="1"/>
    <xf borderId="5" fillId="12" fontId="1" numFmtId="0" xfId="0" applyBorder="1" applyFont="1"/>
    <xf borderId="6" fillId="9" fontId="1" numFmtId="0" xfId="0" applyBorder="1" applyFont="1"/>
    <xf borderId="3" fillId="11" fontId="1" numFmtId="165" xfId="0" applyBorder="1" applyFont="1" applyNumberFormat="1"/>
    <xf borderId="3" fillId="12" fontId="1" numFmtId="165" xfId="0" applyBorder="1" applyFont="1" applyNumberFormat="1"/>
    <xf borderId="0" fillId="11" fontId="1" numFmtId="0" xfId="0" applyFont="1"/>
    <xf borderId="0" fillId="0" fontId="1" numFmtId="10" xfId="0" applyFont="1" applyNumberFormat="1"/>
    <xf borderId="7" fillId="11" fontId="1" numFmtId="0" xfId="0" applyBorder="1" applyFont="1"/>
    <xf borderId="0" fillId="0" fontId="4" numFmtId="0" xfId="0" applyAlignment="1" applyFont="1">
      <alignment horizontal="right"/>
    </xf>
    <xf borderId="6" fillId="12" fontId="1" numFmtId="165" xfId="0" applyBorder="1" applyFont="1" applyNumberFormat="1"/>
    <xf borderId="0" fillId="12" fontId="1" numFmtId="0" xfId="0" applyFont="1"/>
    <xf borderId="7" fillId="12" fontId="1" numFmtId="0" xfId="0" applyBorder="1" applyFont="1"/>
    <xf borderId="0" fillId="0" fontId="4" numFmtId="165" xfId="0" applyFont="1" applyNumberFormat="1"/>
    <xf borderId="6" fillId="11" fontId="1" numFmtId="165" xfId="0" applyBorder="1" applyFont="1" applyNumberFormat="1"/>
    <xf borderId="0" fillId="0" fontId="4" numFmtId="10" xfId="0" applyFont="1" applyNumberFormat="1"/>
    <xf borderId="8" fillId="11" fontId="1" numFmtId="165" xfId="0" applyBorder="1" applyFont="1" applyNumberFormat="1"/>
    <xf borderId="9" fillId="11" fontId="1" numFmtId="0" xfId="0" applyBorder="1" applyFont="1"/>
    <xf borderId="6" fillId="9" fontId="1" numFmtId="164" xfId="0" applyBorder="1" applyFont="1" applyNumberFormat="1"/>
    <xf borderId="10" fillId="11" fontId="1" numFmtId="0" xfId="0" applyBorder="1" applyFont="1"/>
    <xf borderId="8" fillId="12" fontId="1" numFmtId="165" xfId="0" applyBorder="1" applyFont="1" applyNumberFormat="1"/>
    <xf borderId="9" fillId="12" fontId="1" numFmtId="0" xfId="0" applyBorder="1" applyFont="1"/>
    <xf borderId="10" fillId="12" fontId="1" numFmtId="0" xfId="0" applyBorder="1" applyFont="1"/>
    <xf borderId="8" fillId="9" fontId="1" numFmtId="164" xfId="0" applyBorder="1" applyFont="1" applyNumberFormat="1"/>
    <xf borderId="6" fillId="11" fontId="1" numFmtId="0" xfId="0" applyBorder="1" applyFont="1"/>
    <xf borderId="6" fillId="12" fontId="1" numFmtId="0" xfId="0" applyBorder="1" applyFont="1"/>
    <xf borderId="6" fillId="11" fontId="1" numFmtId="164" xfId="0" applyBorder="1" applyFont="1" applyNumberFormat="1"/>
    <xf borderId="6" fillId="12" fontId="1" numFmtId="164" xfId="0" applyBorder="1" applyFont="1" applyNumberFormat="1"/>
    <xf borderId="8" fillId="11" fontId="1" numFmtId="164" xfId="0" applyBorder="1" applyFont="1" applyNumberFormat="1"/>
    <xf borderId="8" fillId="1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0.29"/>
    <col customWidth="1" min="2" max="2" width="12.57"/>
    <col customWidth="1" min="3" max="3" width="16.43"/>
    <col customWidth="1" min="4" max="4" width="9.57"/>
    <col customWidth="1" min="5" max="5" width="8.86"/>
    <col customWidth="1" min="6" max="6" width="28.43"/>
    <col customWidth="1" min="7" max="7" width="4.57"/>
    <col customWidth="1" min="10" max="10" width="15.57"/>
  </cols>
  <sheetData>
    <row r="1" ht="9.75" customHeight="1">
      <c r="B1" s="1"/>
    </row>
    <row r="2" ht="15.75" customHeight="1">
      <c r="A2" s="2" t="s">
        <v>1</v>
      </c>
      <c r="B2" s="3">
        <f>SUM(B73,B56,B5)</f>
        <v>215.606554</v>
      </c>
      <c r="C2" s="4" t="s">
        <v>2</v>
      </c>
      <c r="H2" s="4" t="s">
        <v>4</v>
      </c>
    </row>
    <row r="3" ht="15.75" customHeight="1">
      <c r="B3" s="1"/>
      <c r="D3" s="5" t="s">
        <v>5</v>
      </c>
      <c r="E3" s="5" t="s">
        <v>6</v>
      </c>
      <c r="H3" s="6">
        <v>3500.0</v>
      </c>
      <c r="I3" s="8" t="s">
        <v>8</v>
      </c>
      <c r="J3" s="10"/>
      <c r="K3" s="11"/>
      <c r="L3" s="4"/>
    </row>
    <row r="4" ht="15.75" customHeight="1">
      <c r="A4" s="4" t="s">
        <v>9</v>
      </c>
      <c r="B4" s="1"/>
      <c r="H4" s="12">
        <v>7500.0</v>
      </c>
      <c r="I4" s="13" t="s">
        <v>12</v>
      </c>
      <c r="J4" s="14"/>
      <c r="K4" s="11"/>
      <c r="L4" s="4"/>
    </row>
    <row r="5" ht="15.75" customHeight="1">
      <c r="B5" s="1">
        <f>SUM(B6:B49)</f>
        <v>175.8784804</v>
      </c>
      <c r="H5" s="15">
        <v>99.0</v>
      </c>
      <c r="I5" s="13" t="s">
        <v>16</v>
      </c>
      <c r="J5" s="14"/>
      <c r="K5" s="11"/>
      <c r="L5" s="4"/>
    </row>
    <row r="6" ht="15.75" customHeight="1">
      <c r="A6" s="7" t="s">
        <v>17</v>
      </c>
      <c r="B6" s="9">
        <f t="shared" ref="B6:B11" si="1">C6</f>
        <v>0.184</v>
      </c>
      <c r="C6" s="7">
        <f>9.2/50</f>
        <v>0.184</v>
      </c>
      <c r="H6" s="15">
        <v>399.0</v>
      </c>
      <c r="I6" s="13" t="s">
        <v>19</v>
      </c>
      <c r="J6" s="14"/>
      <c r="K6" s="11"/>
      <c r="L6" s="4"/>
    </row>
    <row r="7" ht="15.75" customHeight="1">
      <c r="A7" s="7" t="s">
        <v>20</v>
      </c>
      <c r="B7" s="9">
        <f t="shared" si="1"/>
        <v>0.3846153846</v>
      </c>
      <c r="C7" s="7">
        <f>(20/4)/13</f>
        <v>0.3846153846</v>
      </c>
      <c r="D7" s="4"/>
      <c r="E7" s="4"/>
      <c r="F7" s="4" t="s">
        <v>22</v>
      </c>
      <c r="H7" s="15">
        <v>499.0</v>
      </c>
      <c r="I7" s="13" t="s">
        <v>23</v>
      </c>
      <c r="J7" s="14"/>
      <c r="K7" s="11"/>
      <c r="L7" s="4"/>
    </row>
    <row r="8" ht="15.75" customHeight="1">
      <c r="A8" s="7" t="s">
        <v>24</v>
      </c>
      <c r="B8" s="9">
        <f t="shared" si="1"/>
        <v>0.3802083333</v>
      </c>
      <c r="C8" s="7">
        <f>18.25/48</f>
        <v>0.3802083333</v>
      </c>
      <c r="H8" s="21">
        <v>800.0</v>
      </c>
      <c r="I8" s="22" t="s">
        <v>26</v>
      </c>
      <c r="J8" s="23"/>
      <c r="K8" s="11"/>
    </row>
    <row r="9" ht="15.75" customHeight="1">
      <c r="A9" s="7" t="s">
        <v>28</v>
      </c>
      <c r="B9" s="9">
        <f t="shared" si="1"/>
        <v>0.2514285714</v>
      </c>
      <c r="C9" s="7">
        <f>8.8/35</f>
        <v>0.2514285714</v>
      </c>
      <c r="H9" s="15"/>
      <c r="I9" s="13"/>
      <c r="J9" s="14"/>
      <c r="K9" s="11"/>
      <c r="L9" s="4"/>
    </row>
    <row r="10" ht="15.75" customHeight="1">
      <c r="A10" s="7" t="s">
        <v>30</v>
      </c>
      <c r="B10" s="9">
        <f t="shared" si="1"/>
        <v>0.2776</v>
      </c>
      <c r="C10" s="7">
        <f>27.76/100</f>
        <v>0.2776</v>
      </c>
      <c r="H10" s="25">
        <f>SUM(H3:H8)</f>
        <v>12797</v>
      </c>
      <c r="I10" s="22" t="s">
        <v>32</v>
      </c>
      <c r="J10" s="23"/>
    </row>
    <row r="11" ht="15.75" customHeight="1">
      <c r="A11" s="7" t="s">
        <v>33</v>
      </c>
      <c r="B11" s="9">
        <f t="shared" si="1"/>
        <v>1.375</v>
      </c>
      <c r="C11" s="7">
        <f>(88/4)/16</f>
        <v>1.375</v>
      </c>
      <c r="H11" s="28"/>
      <c r="I11" s="13"/>
      <c r="J11" s="14"/>
      <c r="K11" s="4"/>
      <c r="L11" s="4"/>
    </row>
    <row r="12" ht="15.75" customHeight="1">
      <c r="A12" s="7" t="s">
        <v>38</v>
      </c>
      <c r="B12" s="9">
        <v>2.275</v>
      </c>
      <c r="C12" s="7" t="s">
        <v>39</v>
      </c>
      <c r="H12" s="28">
        <v>8.0</v>
      </c>
      <c r="I12" s="13" t="s">
        <v>36</v>
      </c>
      <c r="J12" s="14"/>
    </row>
    <row r="13" ht="15.75" customHeight="1">
      <c r="A13" s="7" t="s">
        <v>40</v>
      </c>
      <c r="B13" s="9">
        <f t="shared" ref="B13:B20" si="2">C13</f>
        <v>0.3802083333</v>
      </c>
      <c r="C13" s="7">
        <f>18.25/48</f>
        <v>0.3802083333</v>
      </c>
      <c r="D13" s="1">
        <v>18.25</v>
      </c>
      <c r="E13" s="4">
        <v>48.0</v>
      </c>
      <c r="H13" s="28"/>
      <c r="I13" s="13"/>
      <c r="J13" s="14"/>
      <c r="K13" s="4"/>
      <c r="L13" s="4"/>
    </row>
    <row r="14" ht="15.75" customHeight="1">
      <c r="A14" s="7" t="s">
        <v>7</v>
      </c>
      <c r="B14" s="9">
        <f t="shared" si="2"/>
        <v>0.035</v>
      </c>
      <c r="C14" s="7">
        <f>87.5/5000*2</f>
        <v>0.035</v>
      </c>
      <c r="H14" s="28">
        <v>24.0</v>
      </c>
      <c r="I14" s="13" t="s">
        <v>42</v>
      </c>
      <c r="J14" s="14"/>
    </row>
    <row r="15" ht="15.75" customHeight="1">
      <c r="A15" s="7" t="s">
        <v>11</v>
      </c>
      <c r="B15" s="9">
        <f t="shared" si="2"/>
        <v>0.01935</v>
      </c>
      <c r="C15" s="7">
        <f>19.35/2000*2</f>
        <v>0.01935</v>
      </c>
      <c r="H15" s="28"/>
      <c r="I15" s="13"/>
      <c r="J15" s="14"/>
      <c r="K15" s="4"/>
      <c r="L15" s="4"/>
    </row>
    <row r="16" ht="15.75" customHeight="1">
      <c r="A16" s="7" t="s">
        <v>47</v>
      </c>
      <c r="B16" s="9">
        <f t="shared" si="2"/>
        <v>1.594</v>
      </c>
      <c r="C16" s="7">
        <f>39.85/25</f>
        <v>1.594</v>
      </c>
      <c r="H16" s="28">
        <v>6.0</v>
      </c>
      <c r="I16" s="13" t="s">
        <v>45</v>
      </c>
      <c r="J16" s="14"/>
      <c r="K16" s="1"/>
    </row>
    <row r="17" ht="15.75" customHeight="1">
      <c r="A17" s="7" t="s">
        <v>48</v>
      </c>
      <c r="B17" s="9">
        <f t="shared" si="2"/>
        <v>2.52125</v>
      </c>
      <c r="C17" s="7">
        <f>(100.85/40)</f>
        <v>2.52125</v>
      </c>
      <c r="H17" s="32"/>
      <c r="I17" s="13"/>
      <c r="J17" s="14"/>
      <c r="K17" s="1"/>
      <c r="L17" s="4"/>
    </row>
    <row r="18" ht="15.75" customHeight="1">
      <c r="A18" s="7" t="s">
        <v>50</v>
      </c>
      <c r="B18" s="9">
        <f t="shared" si="2"/>
        <v>0.65</v>
      </c>
      <c r="C18" s="7">
        <f>16.25/25</f>
        <v>0.65</v>
      </c>
      <c r="H18" s="34">
        <f>(H10/H14)/H12/H16</f>
        <v>11.10850694</v>
      </c>
      <c r="I18" s="22" t="s">
        <v>51</v>
      </c>
      <c r="J18" s="23"/>
      <c r="K18" s="4"/>
      <c r="N18" s="4"/>
    </row>
    <row r="19" ht="15.75" customHeight="1">
      <c r="A19" s="7" t="s">
        <v>15</v>
      </c>
      <c r="B19" s="9">
        <f t="shared" si="2"/>
        <v>0.0040875</v>
      </c>
      <c r="C19" s="7">
        <f>(3.27/200)/4</f>
        <v>0.0040875</v>
      </c>
      <c r="H19" s="11"/>
      <c r="I19" s="4"/>
      <c r="K19" s="11"/>
      <c r="L19" s="4"/>
      <c r="N19" s="11"/>
      <c r="O19" s="4"/>
    </row>
    <row r="20" ht="15.75" customHeight="1">
      <c r="A20" s="7" t="s">
        <v>54</v>
      </c>
      <c r="B20" s="9">
        <f t="shared" si="2"/>
        <v>0.2633333333</v>
      </c>
      <c r="C20" s="7">
        <f>(15.8/4)/15</f>
        <v>0.2633333333</v>
      </c>
      <c r="H20" s="11"/>
      <c r="I20" s="4"/>
      <c r="K20" s="11"/>
      <c r="L20" s="4"/>
      <c r="N20" s="11"/>
      <c r="O20" s="4"/>
    </row>
    <row r="21" ht="15.75" customHeight="1">
      <c r="A21" s="7" t="s">
        <v>55</v>
      </c>
      <c r="B21" s="9">
        <v>0.054</v>
      </c>
      <c r="C21" s="7"/>
      <c r="H21" s="11"/>
      <c r="I21" s="4"/>
      <c r="K21" s="11"/>
      <c r="L21" s="4"/>
      <c r="N21" s="11"/>
      <c r="O21" s="4"/>
    </row>
    <row r="22" ht="15.75" customHeight="1">
      <c r="A22" s="7" t="s">
        <v>18</v>
      </c>
      <c r="B22" s="9">
        <f t="shared" ref="B22:B35" si="3">C22</f>
        <v>0.0425</v>
      </c>
      <c r="C22" s="7">
        <f>21.25/500</f>
        <v>0.0425</v>
      </c>
      <c r="H22" s="11"/>
      <c r="I22" s="4"/>
      <c r="K22" s="11"/>
      <c r="L22" s="4"/>
      <c r="N22" s="11"/>
      <c r="O22" s="4"/>
    </row>
    <row r="23" ht="15.75" customHeight="1">
      <c r="A23" s="7" t="s">
        <v>21</v>
      </c>
      <c r="B23" s="9">
        <f t="shared" si="3"/>
        <v>0.0859</v>
      </c>
      <c r="C23" s="7">
        <f>8.59/100</f>
        <v>0.0859</v>
      </c>
      <c r="H23" s="11"/>
      <c r="I23" s="4"/>
      <c r="K23" s="11"/>
      <c r="L23" s="4"/>
      <c r="N23" s="11"/>
      <c r="O23" s="4"/>
    </row>
    <row r="24" ht="15.75" customHeight="1">
      <c r="A24" s="7" t="s">
        <v>25</v>
      </c>
      <c r="B24" s="9">
        <f t="shared" si="3"/>
        <v>0.0897</v>
      </c>
      <c r="C24" s="7">
        <f>8.97/100</f>
        <v>0.0897</v>
      </c>
      <c r="H24" s="11"/>
      <c r="K24" s="11"/>
      <c r="N24" s="11"/>
    </row>
    <row r="25" ht="15.75" customHeight="1">
      <c r="A25" s="7" t="s">
        <v>58</v>
      </c>
      <c r="B25" s="9">
        <f t="shared" si="3"/>
        <v>0.144</v>
      </c>
      <c r="C25" s="7">
        <f>14.4/100</f>
        <v>0.144</v>
      </c>
      <c r="H25" s="11"/>
      <c r="I25" s="4"/>
      <c r="K25" s="11"/>
      <c r="L25" s="4"/>
      <c r="N25" s="11"/>
      <c r="O25" s="4"/>
    </row>
    <row r="26" ht="15.75" customHeight="1">
      <c r="A26" s="7" t="s">
        <v>60</v>
      </c>
      <c r="B26" s="9">
        <f t="shared" si="3"/>
        <v>0.2598</v>
      </c>
      <c r="C26" s="7">
        <f>12.99/50</f>
        <v>0.2598</v>
      </c>
    </row>
    <row r="27" ht="15.75" customHeight="1">
      <c r="A27" s="7" t="s">
        <v>29</v>
      </c>
      <c r="B27" s="9">
        <f t="shared" si="3"/>
        <v>0.866</v>
      </c>
      <c r="C27" s="7">
        <f>43.3/50</f>
        <v>0.866</v>
      </c>
      <c r="H27" s="4"/>
      <c r="I27" s="4"/>
      <c r="K27" s="4"/>
      <c r="L27" s="4"/>
      <c r="N27" s="4"/>
      <c r="O27" s="4"/>
    </row>
    <row r="28" ht="15.75" customHeight="1">
      <c r="A28" s="7" t="s">
        <v>31</v>
      </c>
      <c r="B28" s="9">
        <f t="shared" si="3"/>
        <v>0.1574</v>
      </c>
      <c r="C28" s="7">
        <f>15.74/100</f>
        <v>0.1574</v>
      </c>
    </row>
    <row r="29" ht="15.75" customHeight="1">
      <c r="A29" s="7" t="s">
        <v>34</v>
      </c>
      <c r="B29" s="9">
        <f t="shared" si="3"/>
        <v>0.008</v>
      </c>
      <c r="C29" s="7">
        <f>8/1000</f>
        <v>0.008</v>
      </c>
      <c r="H29" s="4"/>
      <c r="I29" s="4"/>
      <c r="K29" s="4"/>
      <c r="L29" s="4"/>
      <c r="N29" s="4"/>
      <c r="O29" s="4"/>
    </row>
    <row r="30" ht="15.75" customHeight="1">
      <c r="A30" s="7" t="s">
        <v>35</v>
      </c>
      <c r="B30" s="9">
        <f t="shared" si="3"/>
        <v>0.02</v>
      </c>
      <c r="C30" s="7">
        <v>0.02</v>
      </c>
    </row>
    <row r="31" ht="15.75" customHeight="1">
      <c r="A31" s="7" t="s">
        <v>37</v>
      </c>
      <c r="B31" s="9">
        <f t="shared" si="3"/>
        <v>0.256</v>
      </c>
      <c r="C31" s="7">
        <f>16/250*4</f>
        <v>0.256</v>
      </c>
      <c r="H31" s="4"/>
      <c r="I31" s="4"/>
      <c r="K31" s="4"/>
      <c r="L31" s="4"/>
      <c r="N31" s="4"/>
      <c r="O31" s="4"/>
    </row>
    <row r="32" ht="15.75" customHeight="1">
      <c r="A32" s="7" t="s">
        <v>41</v>
      </c>
      <c r="B32" s="9">
        <f t="shared" si="3"/>
        <v>0.384</v>
      </c>
      <c r="C32" s="7">
        <f>16/250*6</f>
        <v>0.384</v>
      </c>
      <c r="H32" s="1"/>
      <c r="K32" s="1"/>
      <c r="N32" s="1"/>
    </row>
    <row r="33" ht="15.75" customHeight="1">
      <c r="A33" s="7" t="s">
        <v>43</v>
      </c>
      <c r="B33" s="9">
        <f t="shared" si="3"/>
        <v>0.34</v>
      </c>
      <c r="C33" s="7">
        <f>8.5/50*2</f>
        <v>0.34</v>
      </c>
      <c r="H33" s="1"/>
      <c r="I33" s="4"/>
      <c r="K33" s="1"/>
      <c r="L33" s="4"/>
      <c r="N33" s="1"/>
      <c r="O33" s="4"/>
    </row>
    <row r="34" ht="15.75" customHeight="1">
      <c r="A34" s="7" t="s">
        <v>44</v>
      </c>
      <c r="B34" s="9">
        <f t="shared" si="3"/>
        <v>0.04375</v>
      </c>
      <c r="C34" s="7">
        <f>(35/100)/8</f>
        <v>0.04375</v>
      </c>
      <c r="H34" s="4"/>
      <c r="K34" s="4"/>
      <c r="N34" s="4"/>
    </row>
    <row r="35" ht="15.75" customHeight="1">
      <c r="A35" s="7" t="s">
        <v>65</v>
      </c>
      <c r="B35" s="9">
        <f t="shared" si="3"/>
        <v>0.3716</v>
      </c>
      <c r="C35" s="7">
        <f>46.45/125</f>
        <v>0.3716</v>
      </c>
      <c r="H35" s="11"/>
      <c r="I35" s="4"/>
      <c r="K35" s="11"/>
      <c r="L35" s="4"/>
      <c r="N35" s="11"/>
      <c r="O35" s="4"/>
    </row>
    <row r="36" ht="15.75" customHeight="1">
      <c r="A36" s="7" t="s">
        <v>67</v>
      </c>
      <c r="B36" s="9">
        <f>2.4/100</f>
        <v>0.024</v>
      </c>
      <c r="C36" s="7" t="s">
        <v>68</v>
      </c>
      <c r="H36" s="11"/>
      <c r="I36" s="4"/>
      <c r="K36" s="11"/>
      <c r="L36" s="4"/>
      <c r="N36" s="11"/>
      <c r="O36" s="4"/>
    </row>
    <row r="37" ht="15.75" customHeight="1">
      <c r="A37" s="7" t="s">
        <v>69</v>
      </c>
      <c r="B37" s="9">
        <f>C37</f>
        <v>0.071625</v>
      </c>
      <c r="C37" s="7">
        <f>28.65/400</f>
        <v>0.071625</v>
      </c>
      <c r="H37" s="11"/>
      <c r="I37" s="4"/>
      <c r="K37" s="11"/>
      <c r="L37" s="4"/>
      <c r="N37" s="11"/>
      <c r="O37" s="4"/>
    </row>
    <row r="38" ht="15.75" customHeight="1">
      <c r="A38" s="7" t="s">
        <v>71</v>
      </c>
      <c r="B38" s="9">
        <f>(1/500)*5</f>
        <v>0.01</v>
      </c>
      <c r="C38" s="7" t="s">
        <v>72</v>
      </c>
      <c r="H38" s="11"/>
      <c r="I38" s="4"/>
      <c r="K38" s="11"/>
      <c r="L38" s="4"/>
      <c r="N38" s="11"/>
      <c r="O38" s="4"/>
    </row>
    <row r="39" ht="15.75" customHeight="1">
      <c r="A39" s="7" t="s">
        <v>73</v>
      </c>
      <c r="B39" s="9">
        <v>99.0</v>
      </c>
      <c r="C39" s="7"/>
      <c r="H39" s="11"/>
      <c r="I39" s="4"/>
      <c r="K39" s="11"/>
      <c r="L39" s="4"/>
      <c r="N39" s="11"/>
      <c r="O39" s="4"/>
    </row>
    <row r="40" ht="15.75" customHeight="1">
      <c r="A40" s="7" t="s">
        <v>70</v>
      </c>
      <c r="B40" s="9">
        <f t="shared" ref="B40:B47" si="4">C40</f>
        <v>0.01964285714</v>
      </c>
      <c r="C40" s="7">
        <f>(5.5/140)/2</f>
        <v>0.01964285714</v>
      </c>
      <c r="H40" s="11"/>
      <c r="K40" s="11"/>
      <c r="N40" s="11"/>
    </row>
    <row r="41" ht="15.75" customHeight="1">
      <c r="A41" s="41" t="s">
        <v>74</v>
      </c>
      <c r="B41" s="53">
        <f t="shared" si="4"/>
        <v>0.0225</v>
      </c>
      <c r="C41" s="41">
        <f>4.5/200</f>
        <v>0.0225</v>
      </c>
      <c r="H41" s="11"/>
      <c r="I41" s="4"/>
      <c r="K41" s="11"/>
      <c r="L41" s="4"/>
      <c r="N41" s="11"/>
      <c r="O41" s="4"/>
    </row>
    <row r="42" ht="15.75" customHeight="1">
      <c r="A42" s="41" t="s">
        <v>75</v>
      </c>
      <c r="B42" s="53">
        <f t="shared" si="4"/>
        <v>0.055</v>
      </c>
      <c r="C42" s="41">
        <f>5.5/200*2</f>
        <v>0.055</v>
      </c>
    </row>
    <row r="43" ht="15.75" customHeight="1">
      <c r="A43" s="41" t="s">
        <v>76</v>
      </c>
      <c r="B43" s="53">
        <f t="shared" si="4"/>
        <v>0.01995</v>
      </c>
      <c r="C43" s="41">
        <f>3.99/200</f>
        <v>0.01995</v>
      </c>
      <c r="H43" s="4"/>
      <c r="I43" s="4"/>
      <c r="K43" s="4"/>
      <c r="L43" s="4"/>
      <c r="N43" s="4"/>
      <c r="O43" s="4"/>
    </row>
    <row r="44" ht="15.75" customHeight="1">
      <c r="A44" s="41" t="s">
        <v>77</v>
      </c>
      <c r="B44" s="53">
        <f t="shared" si="4"/>
        <v>0.05735</v>
      </c>
      <c r="C44" s="41">
        <f>11.47/200</f>
        <v>0.05735</v>
      </c>
    </row>
    <row r="45" ht="15.75" customHeight="1">
      <c r="A45" s="41" t="s">
        <v>78</v>
      </c>
      <c r="B45" s="53">
        <f t="shared" si="4"/>
        <v>0.215</v>
      </c>
      <c r="C45" s="41">
        <f>(21.5/100)</f>
        <v>0.215</v>
      </c>
      <c r="H45" s="4"/>
      <c r="I45" s="4"/>
      <c r="K45" s="4"/>
      <c r="L45" s="4"/>
      <c r="N45" s="4"/>
      <c r="O45" s="4"/>
    </row>
    <row r="46" ht="15.75" customHeight="1">
      <c r="A46" s="41" t="s">
        <v>79</v>
      </c>
      <c r="B46" s="53">
        <f t="shared" si="4"/>
        <v>0.100625</v>
      </c>
      <c r="C46" s="41">
        <f>(8.05/160)*2</f>
        <v>0.100625</v>
      </c>
    </row>
    <row r="47" ht="15.75" customHeight="1">
      <c r="A47" s="41" t="s">
        <v>80</v>
      </c>
      <c r="B47" s="53">
        <f t="shared" si="4"/>
        <v>0.0503125</v>
      </c>
      <c r="C47" s="41">
        <f>(8.05/160)</f>
        <v>0.0503125</v>
      </c>
      <c r="H47" s="4"/>
      <c r="I47" s="4"/>
      <c r="K47" s="4"/>
      <c r="L47" s="4"/>
      <c r="N47" s="4"/>
      <c r="O47" s="4"/>
    </row>
    <row r="48" ht="15.75" customHeight="1">
      <c r="A48" s="7" t="s">
        <v>81</v>
      </c>
      <c r="B48" s="9">
        <f>'Copy of 2 Surface Composite'!G20</f>
        <v>43.51474359</v>
      </c>
      <c r="C48" s="9">
        <f>H18</f>
        <v>11.10850694</v>
      </c>
      <c r="H48" s="1"/>
      <c r="K48" s="1"/>
      <c r="N48" s="1"/>
    </row>
    <row r="49" ht="15.75" customHeight="1">
      <c r="A49" s="7" t="s">
        <v>83</v>
      </c>
      <c r="B49" s="9">
        <v>19.0</v>
      </c>
      <c r="C49" s="7">
        <f>19</f>
        <v>19</v>
      </c>
      <c r="D49" s="4"/>
      <c r="E49" s="4"/>
      <c r="F49" s="4" t="s">
        <v>84</v>
      </c>
      <c r="H49" s="1"/>
      <c r="I49" s="4"/>
      <c r="K49" s="1"/>
      <c r="L49" s="4"/>
      <c r="N49" s="1"/>
      <c r="O49" s="4"/>
    </row>
    <row r="50" ht="15.75" customHeight="1">
      <c r="A50" s="4"/>
      <c r="B50" s="1"/>
    </row>
    <row r="51" ht="15.75" customHeight="1">
      <c r="A51" s="31" t="s">
        <v>85</v>
      </c>
      <c r="B51" s="33"/>
      <c r="C51" s="31"/>
    </row>
    <row r="52" ht="15.75" customHeight="1">
      <c r="A52" s="31" t="s">
        <v>86</v>
      </c>
      <c r="B52" s="33">
        <f t="shared" ref="B52:B55" si="5">C52</f>
        <v>0.071625</v>
      </c>
      <c r="C52" s="31">
        <f>28.65/400</f>
        <v>0.071625</v>
      </c>
    </row>
    <row r="53" ht="15.75" customHeight="1">
      <c r="A53" s="31" t="s">
        <v>57</v>
      </c>
      <c r="B53" s="33">
        <f t="shared" si="5"/>
        <v>1.19</v>
      </c>
      <c r="C53" s="31">
        <f>0.05*(119/5)</f>
        <v>1.19</v>
      </c>
    </row>
    <row r="54" ht="15.75" customHeight="1">
      <c r="A54" s="31" t="s">
        <v>62</v>
      </c>
      <c r="B54" s="33">
        <f t="shared" si="5"/>
        <v>1.185714286</v>
      </c>
      <c r="C54" s="31">
        <f>(83/2)/35</f>
        <v>1.185714286</v>
      </c>
    </row>
    <row r="55" ht="15.75" customHeight="1">
      <c r="A55" s="31" t="s">
        <v>87</v>
      </c>
      <c r="B55" s="33">
        <f t="shared" si="5"/>
        <v>0.0924</v>
      </c>
      <c r="C55" s="31">
        <f>9.24/100</f>
        <v>0.0924</v>
      </c>
    </row>
    <row r="56" ht="15.75" customHeight="1">
      <c r="B56" s="1">
        <f>SUM(B52:B55)</f>
        <v>2.539739286</v>
      </c>
      <c r="C56" s="4" t="s">
        <v>89</v>
      </c>
    </row>
    <row r="57" ht="15.75" customHeight="1">
      <c r="B57" s="1"/>
    </row>
    <row r="58" ht="15.75" customHeight="1">
      <c r="A58" s="71" t="s">
        <v>90</v>
      </c>
      <c r="B58" s="72"/>
      <c r="C58" s="71"/>
    </row>
    <row r="59" ht="15.75" customHeight="1">
      <c r="A59" s="71"/>
      <c r="B59" s="72"/>
      <c r="C59" s="71"/>
    </row>
    <row r="60" ht="15.75" customHeight="1">
      <c r="A60" s="71" t="s">
        <v>92</v>
      </c>
      <c r="B60" s="72">
        <f t="shared" ref="B60:B70" si="6">C60</f>
        <v>0.0225</v>
      </c>
      <c r="C60" s="71">
        <f>4.5/200</f>
        <v>0.0225</v>
      </c>
    </row>
    <row r="61" ht="15.75" customHeight="1">
      <c r="A61" s="71" t="s">
        <v>7</v>
      </c>
      <c r="B61" s="72">
        <f t="shared" si="6"/>
        <v>0.035</v>
      </c>
      <c r="C61" s="71">
        <f>87.5/5000*2</f>
        <v>0.035</v>
      </c>
    </row>
    <row r="62" ht="15.75" customHeight="1">
      <c r="A62" s="71" t="s">
        <v>94</v>
      </c>
      <c r="B62" s="72">
        <f t="shared" si="6"/>
        <v>0.0040875</v>
      </c>
      <c r="C62" s="71">
        <f>(3.27/200)/4</f>
        <v>0.0040875</v>
      </c>
    </row>
    <row r="63" ht="15.75" customHeight="1">
      <c r="A63" s="71" t="s">
        <v>95</v>
      </c>
      <c r="B63" s="72">
        <f t="shared" si="6"/>
        <v>0.01935</v>
      </c>
      <c r="C63" s="71">
        <f>19.35/2000*2</f>
        <v>0.01935</v>
      </c>
    </row>
    <row r="64" ht="15.75" customHeight="1">
      <c r="A64" s="71" t="s">
        <v>96</v>
      </c>
      <c r="B64" s="72">
        <f t="shared" si="6"/>
        <v>5.295</v>
      </c>
      <c r="C64" s="71">
        <f>264.75/50</f>
        <v>5.295</v>
      </c>
    </row>
    <row r="65" ht="15.75" customHeight="1">
      <c r="A65" s="71" t="s">
        <v>99</v>
      </c>
      <c r="B65" s="72">
        <f t="shared" si="6"/>
        <v>0.0213</v>
      </c>
      <c r="C65" s="71">
        <f>21.3/1000</f>
        <v>0.0213</v>
      </c>
    </row>
    <row r="66" ht="15.75" customHeight="1">
      <c r="A66" s="71" t="s">
        <v>100</v>
      </c>
      <c r="B66" s="72">
        <f t="shared" si="6"/>
        <v>0.0425</v>
      </c>
      <c r="C66" s="71">
        <f>21.25/500</f>
        <v>0.0425</v>
      </c>
    </row>
    <row r="67" ht="15.75" customHeight="1">
      <c r="A67" s="71" t="s">
        <v>101</v>
      </c>
      <c r="B67" s="72">
        <f t="shared" si="6"/>
        <v>0.0859</v>
      </c>
      <c r="C67" s="71">
        <f>8.59/100</f>
        <v>0.0859</v>
      </c>
    </row>
    <row r="68" ht="15.75" customHeight="1">
      <c r="A68" s="71" t="s">
        <v>102</v>
      </c>
      <c r="B68" s="72">
        <f t="shared" si="6"/>
        <v>0.0897</v>
      </c>
      <c r="C68" s="71">
        <f>8.97/100</f>
        <v>0.0897</v>
      </c>
    </row>
    <row r="69" ht="15.75" customHeight="1">
      <c r="A69" s="71" t="s">
        <v>103</v>
      </c>
      <c r="B69" s="72">
        <f t="shared" si="6"/>
        <v>0.100625</v>
      </c>
      <c r="C69" s="71">
        <f>(8.05/160)*2</f>
        <v>0.100625</v>
      </c>
    </row>
    <row r="70" ht="15.75" customHeight="1">
      <c r="A70" s="71" t="s">
        <v>78</v>
      </c>
      <c r="B70" s="72">
        <f t="shared" si="6"/>
        <v>0.215</v>
      </c>
      <c r="C70" s="71">
        <f>(21.5/100)</f>
        <v>0.215</v>
      </c>
    </row>
    <row r="71" ht="15.75" customHeight="1">
      <c r="A71" s="71" t="s">
        <v>105</v>
      </c>
      <c r="B71" s="72">
        <f>0.5*'Copy of 2 Surface Composite'!G20</f>
        <v>21.75737179</v>
      </c>
      <c r="C71" s="72">
        <f>0.5*H18</f>
        <v>5.554253472</v>
      </c>
    </row>
    <row r="72" ht="15.75" customHeight="1">
      <c r="A72" s="71" t="s">
        <v>107</v>
      </c>
      <c r="B72" s="72">
        <f>C72</f>
        <v>9.5</v>
      </c>
      <c r="C72" s="71">
        <f>0.5*19</f>
        <v>9.5</v>
      </c>
    </row>
    <row r="73" ht="15.75" customHeight="1">
      <c r="B73" s="1">
        <f>SUM(B58:B72)</f>
        <v>37.18833429</v>
      </c>
      <c r="C73" s="4" t="s">
        <v>89</v>
      </c>
    </row>
    <row r="74" ht="15.75" customHeight="1">
      <c r="B74" s="1"/>
    </row>
    <row r="75" ht="15.75" customHeight="1">
      <c r="B75" s="1"/>
    </row>
    <row r="76" ht="15.75" customHeight="1">
      <c r="B76" s="1"/>
    </row>
    <row r="77" ht="15.75" customHeight="1"/>
    <row r="78" ht="15.75" customHeight="1">
      <c r="B78" s="1"/>
    </row>
    <row r="79" ht="15.75" customHeight="1">
      <c r="B79" s="1"/>
    </row>
    <row r="80" ht="15.75" customHeight="1">
      <c r="B80" s="1"/>
    </row>
    <row r="81" ht="15.75" customHeight="1">
      <c r="B81" s="1"/>
    </row>
    <row r="82" ht="15.75" customHeight="1">
      <c r="B82" s="1"/>
    </row>
    <row r="83" ht="15.75" customHeight="1">
      <c r="B83" s="1"/>
    </row>
    <row r="84" ht="15.75" customHeight="1">
      <c r="B84" s="1"/>
    </row>
    <row r="85" ht="15.75" customHeight="1">
      <c r="B85" s="1"/>
    </row>
    <row r="86" ht="15.75" customHeight="1">
      <c r="B86" s="1"/>
    </row>
    <row r="87" ht="15.75" customHeight="1">
      <c r="B87" s="1"/>
    </row>
    <row r="88" ht="15.75" customHeight="1">
      <c r="B88" s="1"/>
    </row>
    <row r="89" ht="15.75" customHeight="1">
      <c r="B89" s="1"/>
    </row>
    <row r="90" ht="15.75" customHeight="1">
      <c r="B90" s="1"/>
    </row>
    <row r="91" ht="15.75" customHeight="1">
      <c r="B91" s="1"/>
    </row>
    <row r="92" ht="15.75" customHeight="1">
      <c r="B92" s="1"/>
    </row>
    <row r="93" ht="15.75" customHeight="1">
      <c r="B93" s="1"/>
    </row>
    <row r="94" ht="15.75" customHeight="1">
      <c r="B94" s="1"/>
    </row>
    <row r="95" ht="15.75" customHeight="1">
      <c r="B95" s="1"/>
    </row>
    <row r="96" ht="15.75" customHeight="1">
      <c r="B96" s="1"/>
    </row>
    <row r="97" ht="15.75" customHeight="1">
      <c r="B97" s="1"/>
    </row>
    <row r="98" ht="15.75" customHeight="1">
      <c r="B98" s="1"/>
    </row>
    <row r="99" ht="15.75" customHeight="1">
      <c r="B99" s="1"/>
    </row>
    <row r="100" ht="15.75" customHeight="1">
      <c r="B100" s="1"/>
    </row>
    <row r="101" ht="15.75" customHeight="1">
      <c r="B101" s="1"/>
    </row>
    <row r="102" ht="15.75" customHeight="1">
      <c r="B102" s="1"/>
    </row>
    <row r="103" ht="15.75" customHeight="1">
      <c r="B103" s="1"/>
    </row>
    <row r="104" ht="15.75" customHeight="1">
      <c r="B104" s="1"/>
    </row>
    <row r="105" ht="15.75" customHeight="1">
      <c r="B105" s="1"/>
    </row>
    <row r="106" ht="15.75" customHeight="1">
      <c r="B106" s="1"/>
    </row>
    <row r="107" ht="15.75" customHeight="1">
      <c r="B107" s="1"/>
    </row>
    <row r="108" ht="15.75" customHeight="1">
      <c r="B108" s="1"/>
    </row>
    <row r="109" ht="15.75" customHeight="1">
      <c r="B109" s="1"/>
    </row>
    <row r="110" ht="15.75" customHeight="1">
      <c r="B110" s="1"/>
    </row>
    <row r="111" ht="15.75" customHeight="1">
      <c r="B111" s="1"/>
    </row>
    <row r="112" ht="15.75" customHeight="1">
      <c r="B112" s="1"/>
    </row>
    <row r="113" ht="15.75" customHeight="1">
      <c r="B113" s="1"/>
    </row>
    <row r="114" ht="15.75" customHeight="1">
      <c r="B114" s="1"/>
    </row>
    <row r="115" ht="15.75" customHeight="1">
      <c r="B115" s="1"/>
    </row>
    <row r="116" ht="15.75" customHeight="1">
      <c r="B116" s="1"/>
    </row>
    <row r="117" ht="15.75" customHeight="1">
      <c r="B117" s="1"/>
    </row>
    <row r="118" ht="15.75" customHeight="1">
      <c r="B118" s="1"/>
    </row>
    <row r="119" ht="15.75" customHeight="1">
      <c r="B119" s="1"/>
    </row>
    <row r="120" ht="15.75" customHeight="1">
      <c r="B120" s="1"/>
    </row>
    <row r="121" ht="15.75" customHeight="1">
      <c r="B121" s="1"/>
    </row>
    <row r="122" ht="15.75" customHeight="1">
      <c r="B122" s="1"/>
    </row>
    <row r="123" ht="15.75" customHeight="1">
      <c r="B123" s="1"/>
    </row>
    <row r="124" ht="15.75" customHeight="1">
      <c r="B124" s="1"/>
    </row>
    <row r="125" ht="15.75" customHeight="1">
      <c r="B125" s="1"/>
    </row>
    <row r="126" ht="15.75" customHeight="1">
      <c r="B126" s="1"/>
    </row>
    <row r="127" ht="15.75" customHeight="1">
      <c r="B127" s="1"/>
    </row>
    <row r="128" ht="15.75" customHeight="1">
      <c r="B128" s="1"/>
    </row>
    <row r="129" ht="15.75" customHeight="1">
      <c r="B129" s="1"/>
    </row>
    <row r="130" ht="15.75" customHeight="1">
      <c r="B130" s="1"/>
    </row>
    <row r="131" ht="15.75" customHeight="1">
      <c r="B131" s="1"/>
    </row>
    <row r="132" ht="15.75" customHeight="1">
      <c r="B132" s="1"/>
    </row>
    <row r="133" ht="15.75" customHeight="1">
      <c r="B133" s="1"/>
    </row>
    <row r="134" ht="15.75" customHeight="1">
      <c r="B134" s="1"/>
    </row>
    <row r="135" ht="15.75" customHeight="1">
      <c r="B135" s="1"/>
    </row>
    <row r="136" ht="15.75" customHeight="1">
      <c r="B136" s="1"/>
    </row>
    <row r="137" ht="15.75" customHeight="1">
      <c r="B137" s="1"/>
    </row>
    <row r="138" ht="15.75" customHeight="1">
      <c r="B138" s="1"/>
    </row>
    <row r="139" ht="15.75" customHeight="1">
      <c r="B139" s="1"/>
    </row>
    <row r="140" ht="15.75" customHeight="1">
      <c r="B140" s="1"/>
    </row>
    <row r="141" ht="15.75" customHeight="1">
      <c r="B141" s="1"/>
    </row>
    <row r="142" ht="15.75" customHeight="1">
      <c r="B142" s="1"/>
    </row>
    <row r="143" ht="15.75" customHeight="1">
      <c r="B143" s="1"/>
    </row>
    <row r="144" ht="15.75" customHeight="1">
      <c r="B144" s="1"/>
    </row>
    <row r="145" ht="15.75" customHeight="1">
      <c r="B145" s="1"/>
    </row>
    <row r="146" ht="15.75" customHeight="1">
      <c r="B146" s="1"/>
    </row>
    <row r="147" ht="15.75" customHeight="1">
      <c r="B147" s="1"/>
    </row>
    <row r="148" ht="15.75" customHeight="1">
      <c r="B148" s="1"/>
    </row>
    <row r="149" ht="15.75" customHeight="1">
      <c r="B149" s="1"/>
    </row>
    <row r="150" ht="15.75" customHeight="1">
      <c r="B150" s="1"/>
    </row>
    <row r="151" ht="15.75" customHeight="1">
      <c r="B151" s="1"/>
    </row>
    <row r="152" ht="15.75" customHeight="1">
      <c r="B152" s="1"/>
    </row>
    <row r="153" ht="15.75" customHeight="1">
      <c r="B153" s="1"/>
    </row>
    <row r="154" ht="15.75" customHeight="1">
      <c r="B154" s="1"/>
    </row>
    <row r="155" ht="15.75" customHeight="1">
      <c r="B155" s="1"/>
    </row>
    <row r="156" ht="15.75" customHeight="1">
      <c r="B156" s="1"/>
    </row>
    <row r="157" ht="15.75" customHeight="1">
      <c r="B157" s="1"/>
    </row>
    <row r="158" ht="15.75" customHeight="1">
      <c r="B158" s="1"/>
    </row>
    <row r="159" ht="15.75" customHeight="1">
      <c r="B159" s="1"/>
    </row>
    <row r="160" ht="15.75" customHeight="1">
      <c r="B160" s="1"/>
    </row>
    <row r="161" ht="15.75" customHeight="1">
      <c r="B161" s="1"/>
    </row>
    <row r="162" ht="15.75" customHeight="1">
      <c r="B162" s="1"/>
    </row>
    <row r="163" ht="15.75" customHeight="1">
      <c r="B163" s="1"/>
    </row>
    <row r="164" ht="15.75" customHeight="1">
      <c r="B164" s="1"/>
    </row>
    <row r="165" ht="15.75" customHeight="1">
      <c r="B165" s="1"/>
    </row>
    <row r="166" ht="15.75" customHeight="1">
      <c r="B166" s="1"/>
    </row>
    <row r="167" ht="15.75" customHeight="1">
      <c r="B167" s="1"/>
    </row>
    <row r="168" ht="15.75" customHeight="1">
      <c r="B168" s="1"/>
    </row>
    <row r="169" ht="15.75" customHeight="1">
      <c r="B169" s="1"/>
    </row>
    <row r="170" ht="15.75" customHeight="1">
      <c r="B170" s="1"/>
    </row>
    <row r="171" ht="15.75" customHeight="1">
      <c r="B171" s="1"/>
    </row>
    <row r="172" ht="15.75" customHeight="1">
      <c r="B172" s="1"/>
    </row>
    <row r="173" ht="15.75" customHeight="1">
      <c r="B173" s="1"/>
    </row>
    <row r="174" ht="15.75" customHeight="1">
      <c r="B174" s="1"/>
    </row>
    <row r="175" ht="15.75" customHeight="1">
      <c r="B175" s="1"/>
    </row>
    <row r="176" ht="15.75" customHeight="1">
      <c r="B176" s="1"/>
    </row>
    <row r="177" ht="15.75" customHeight="1">
      <c r="B177" s="1"/>
    </row>
    <row r="178" ht="15.75" customHeight="1">
      <c r="B178" s="1"/>
    </row>
    <row r="179" ht="15.75" customHeight="1">
      <c r="B179" s="1"/>
    </row>
    <row r="180" ht="15.75" customHeight="1">
      <c r="B180" s="1"/>
    </row>
    <row r="181" ht="15.75" customHeight="1">
      <c r="B181" s="1"/>
    </row>
    <row r="182" ht="15.75" customHeight="1">
      <c r="B182" s="1"/>
    </row>
    <row r="183" ht="15.75" customHeight="1">
      <c r="B183" s="1"/>
    </row>
    <row r="184" ht="15.75" customHeight="1">
      <c r="B184" s="1"/>
    </row>
    <row r="185" ht="15.75" customHeight="1">
      <c r="B185" s="1"/>
    </row>
    <row r="186" ht="15.75" customHeight="1">
      <c r="B186" s="1"/>
    </row>
    <row r="187" ht="15.75" customHeight="1">
      <c r="B187" s="1"/>
    </row>
    <row r="188" ht="15.75" customHeight="1">
      <c r="B188" s="1"/>
    </row>
    <row r="189" ht="15.75" customHeight="1">
      <c r="B189" s="1"/>
    </row>
    <row r="190" ht="15.75" customHeight="1">
      <c r="B190" s="1"/>
    </row>
    <row r="191" ht="15.75" customHeight="1">
      <c r="B191" s="1"/>
    </row>
    <row r="192" ht="15.75" customHeight="1">
      <c r="B192" s="1"/>
    </row>
    <row r="193" ht="15.75" customHeight="1">
      <c r="B193" s="1"/>
    </row>
    <row r="194" ht="15.75" customHeight="1">
      <c r="B194" s="1"/>
    </row>
    <row r="195" ht="15.75" customHeight="1">
      <c r="B195" s="1"/>
    </row>
    <row r="196" ht="15.75" customHeight="1">
      <c r="B196" s="1"/>
    </row>
    <row r="197" ht="15.75" customHeight="1">
      <c r="B197" s="1"/>
    </row>
    <row r="198" ht="15.75" customHeight="1">
      <c r="B198" s="1"/>
    </row>
    <row r="199" ht="15.75" customHeight="1">
      <c r="B199" s="1"/>
    </row>
    <row r="200" ht="15.75" customHeight="1">
      <c r="B200" s="1"/>
    </row>
    <row r="201" ht="15.75" customHeight="1">
      <c r="B201" s="1"/>
    </row>
    <row r="202" ht="15.75" customHeight="1">
      <c r="B202" s="1"/>
    </row>
    <row r="203" ht="15.75" customHeight="1">
      <c r="B203" s="1"/>
    </row>
    <row r="204" ht="15.75" customHeight="1">
      <c r="B204" s="1"/>
    </row>
    <row r="205" ht="15.75" customHeight="1">
      <c r="B205" s="1"/>
    </row>
    <row r="206" ht="15.75" customHeight="1">
      <c r="B206" s="1"/>
    </row>
    <row r="207" ht="15.75" customHeight="1">
      <c r="B207" s="1"/>
    </row>
    <row r="208" ht="15.75" customHeight="1">
      <c r="B208" s="1"/>
    </row>
    <row r="209" ht="15.75" customHeight="1">
      <c r="B209" s="1"/>
    </row>
    <row r="210" ht="15.75" customHeight="1">
      <c r="B210" s="1"/>
    </row>
    <row r="211" ht="15.75" customHeight="1">
      <c r="B211" s="1"/>
    </row>
    <row r="212" ht="15.75" customHeight="1">
      <c r="B212" s="1"/>
    </row>
    <row r="213" ht="15.75" customHeight="1">
      <c r="B213" s="1"/>
    </row>
    <row r="214" ht="15.75" customHeight="1">
      <c r="B214" s="1"/>
    </row>
    <row r="215" ht="15.75" customHeight="1">
      <c r="B215" s="1"/>
    </row>
    <row r="216" ht="15.75" customHeight="1">
      <c r="B216" s="1"/>
    </row>
    <row r="217" ht="15.75" customHeight="1">
      <c r="B217" s="1"/>
    </row>
    <row r="218" ht="15.75" customHeight="1">
      <c r="B218" s="1"/>
    </row>
    <row r="219" ht="15.75" customHeight="1">
      <c r="B219" s="1"/>
    </row>
    <row r="220" ht="15.75" customHeight="1">
      <c r="B220" s="1"/>
    </row>
    <row r="221" ht="15.75" customHeight="1">
      <c r="B221" s="1"/>
    </row>
    <row r="222" ht="15.75" customHeight="1">
      <c r="B222" s="1"/>
    </row>
    <row r="223" ht="15.75" customHeight="1">
      <c r="B223" s="1"/>
    </row>
    <row r="224" ht="15.75" customHeight="1">
      <c r="B224" s="1"/>
    </row>
    <row r="225" ht="15.75" customHeight="1">
      <c r="B225" s="1"/>
    </row>
    <row r="226" ht="15.75" customHeight="1">
      <c r="B226" s="1"/>
    </row>
    <row r="227" ht="15.75" customHeight="1">
      <c r="B227" s="1"/>
    </row>
    <row r="228" ht="15.75" customHeight="1">
      <c r="B228" s="1"/>
    </row>
    <row r="229" ht="15.75" customHeight="1">
      <c r="B229" s="1"/>
    </row>
    <row r="230" ht="15.75" customHeight="1">
      <c r="B230" s="1"/>
    </row>
    <row r="231" ht="15.75" customHeight="1">
      <c r="B231" s="1"/>
    </row>
    <row r="232" ht="15.75" customHeight="1">
      <c r="B232" s="1"/>
    </row>
    <row r="233" ht="15.75" customHeight="1">
      <c r="B233" s="1"/>
    </row>
    <row r="234" ht="15.75" customHeight="1">
      <c r="B234" s="1"/>
    </row>
    <row r="235" ht="15.75" customHeight="1">
      <c r="B235" s="1"/>
    </row>
    <row r="236" ht="15.75" customHeight="1">
      <c r="B236" s="1"/>
    </row>
    <row r="237" ht="15.75" customHeight="1">
      <c r="B237" s="1"/>
    </row>
    <row r="238" ht="15.75" customHeight="1">
      <c r="B238" s="1"/>
    </row>
    <row r="239" ht="15.75" customHeight="1">
      <c r="B239" s="1"/>
    </row>
    <row r="240" ht="15.75" customHeight="1">
      <c r="B240" s="1"/>
    </row>
    <row r="241" ht="15.75" customHeight="1">
      <c r="B241" s="1"/>
    </row>
    <row r="242" ht="15.75" customHeight="1">
      <c r="B242" s="1"/>
    </row>
    <row r="243" ht="15.75" customHeight="1">
      <c r="B243" s="1"/>
    </row>
    <row r="244" ht="15.75" customHeight="1">
      <c r="B244" s="1"/>
    </row>
    <row r="245" ht="15.75" customHeight="1">
      <c r="B245" s="1"/>
    </row>
    <row r="246" ht="15.75" customHeight="1">
      <c r="B246" s="1"/>
    </row>
    <row r="247" ht="15.75" customHeight="1">
      <c r="B247" s="1"/>
    </row>
    <row r="248" ht="15.75" customHeight="1">
      <c r="B248" s="1"/>
    </row>
    <row r="249" ht="15.75" customHeight="1">
      <c r="B249" s="1"/>
    </row>
    <row r="250" ht="15.75" customHeight="1">
      <c r="B250" s="1"/>
    </row>
    <row r="251" ht="15.75" customHeight="1">
      <c r="B251" s="1"/>
    </row>
    <row r="252" ht="15.75" customHeight="1">
      <c r="B252" s="1"/>
    </row>
    <row r="253" ht="15.75" customHeight="1">
      <c r="B253" s="1"/>
    </row>
    <row r="254" ht="15.75" customHeight="1">
      <c r="B254" s="1"/>
    </row>
    <row r="255" ht="15.75" customHeight="1">
      <c r="B255" s="1"/>
    </row>
    <row r="256" ht="15.75" customHeight="1">
      <c r="B256" s="1"/>
    </row>
    <row r="257" ht="15.75" customHeight="1">
      <c r="B257" s="1"/>
    </row>
    <row r="258" ht="15.75" customHeight="1">
      <c r="B258" s="1"/>
    </row>
    <row r="259" ht="15.75" customHeight="1">
      <c r="B259" s="1"/>
    </row>
    <row r="260" ht="15.75" customHeight="1">
      <c r="B260" s="1"/>
    </row>
    <row r="261" ht="15.75" customHeight="1">
      <c r="B261" s="1"/>
    </row>
    <row r="262" ht="15.75" customHeight="1">
      <c r="B262" s="1"/>
    </row>
    <row r="263" ht="15.75" customHeight="1">
      <c r="B263" s="1"/>
    </row>
    <row r="264" ht="15.75" customHeight="1">
      <c r="B264" s="1"/>
    </row>
    <row r="265" ht="15.75" customHeight="1">
      <c r="B265" s="1"/>
    </row>
    <row r="266" ht="15.75" customHeight="1">
      <c r="B266" s="1"/>
    </row>
    <row r="267" ht="15.75" customHeight="1">
      <c r="B267" s="1"/>
    </row>
    <row r="268" ht="15.75" customHeight="1">
      <c r="B268" s="1"/>
    </row>
    <row r="269" ht="15.75" customHeight="1">
      <c r="B269" s="1"/>
    </row>
    <row r="270" ht="15.75" customHeight="1">
      <c r="B270" s="1"/>
    </row>
    <row r="271" ht="15.75" customHeight="1">
      <c r="B271" s="1"/>
    </row>
    <row r="272" ht="15.75" customHeight="1">
      <c r="B272" s="1"/>
    </row>
    <row r="273" ht="15.75" customHeight="1">
      <c r="B273" s="1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D3:D5"/>
    <mergeCell ref="E3:E5"/>
    <mergeCell ref="A4:A5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0.14"/>
    <col customWidth="1" min="2" max="6" width="14.43"/>
  </cols>
  <sheetData>
    <row r="1" ht="15.75" customHeight="1">
      <c r="A1" s="2" t="s">
        <v>0</v>
      </c>
      <c r="B1" s="3">
        <f>SUM(B72,B62,B4)</f>
        <v>34.19053631</v>
      </c>
      <c r="C1" s="4" t="s">
        <v>3</v>
      </c>
    </row>
    <row r="2" ht="15.75" customHeight="1">
      <c r="B2" s="1"/>
    </row>
    <row r="3" ht="15.75" customHeight="1">
      <c r="A3" s="4"/>
      <c r="B3" s="1"/>
    </row>
    <row r="4" ht="15.75" customHeight="1">
      <c r="B4" s="1">
        <f>SUM(B5:B38)</f>
        <v>9.39553631</v>
      </c>
    </row>
    <row r="5" ht="15.75" customHeight="1">
      <c r="A5" s="7" t="s">
        <v>7</v>
      </c>
      <c r="B5" s="9">
        <f t="shared" ref="B5:B7" si="1">C6</f>
        <v>0.01935</v>
      </c>
      <c r="C5" s="7">
        <f>87.5/5000*2</f>
        <v>0.035</v>
      </c>
      <c r="G5" s="4" t="s">
        <v>13</v>
      </c>
      <c r="J5" s="4" t="s">
        <v>14</v>
      </c>
    </row>
    <row r="6" ht="15.75" customHeight="1">
      <c r="A6" s="7" t="s">
        <v>11</v>
      </c>
      <c r="B6" s="9">
        <f t="shared" si="1"/>
        <v>0.0040875</v>
      </c>
      <c r="C6" s="7">
        <f>19.35/2000*2</f>
        <v>0.01935</v>
      </c>
      <c r="D6" s="4"/>
      <c r="G6" s="6">
        <v>3500.0</v>
      </c>
      <c r="H6" s="8" t="s">
        <v>8</v>
      </c>
      <c r="I6" s="10"/>
      <c r="J6" s="16">
        <v>3300.0</v>
      </c>
      <c r="K6" s="17" t="s">
        <v>8</v>
      </c>
      <c r="L6" s="18"/>
    </row>
    <row r="7" ht="15.75" customHeight="1">
      <c r="A7" s="7" t="s">
        <v>15</v>
      </c>
      <c r="B7" s="9">
        <f t="shared" si="1"/>
        <v>0.0425</v>
      </c>
      <c r="C7" s="7">
        <f>(3.27/200)/4</f>
        <v>0.0040875</v>
      </c>
      <c r="G7" s="12">
        <v>7500.0</v>
      </c>
      <c r="H7" s="13" t="s">
        <v>12</v>
      </c>
      <c r="I7" s="14"/>
      <c r="J7" s="12">
        <v>9000.0</v>
      </c>
      <c r="K7" s="19" t="s">
        <v>12</v>
      </c>
      <c r="L7" s="20"/>
    </row>
    <row r="8" ht="15.75" customHeight="1">
      <c r="A8" s="7" t="s">
        <v>18</v>
      </c>
      <c r="B8" s="9">
        <f t="shared" ref="B8:B27" si="2">C8</f>
        <v>0.0425</v>
      </c>
      <c r="C8" s="7">
        <f>21.25/500</f>
        <v>0.0425</v>
      </c>
      <c r="G8" s="15">
        <v>99.0</v>
      </c>
      <c r="H8" s="13" t="s">
        <v>16</v>
      </c>
      <c r="I8" s="14"/>
      <c r="J8" s="24">
        <v>99.0</v>
      </c>
      <c r="K8" s="19" t="s">
        <v>16</v>
      </c>
      <c r="L8" s="20"/>
    </row>
    <row r="9" ht="15.75" customHeight="1">
      <c r="A9" s="7" t="s">
        <v>21</v>
      </c>
      <c r="B9" s="9">
        <f t="shared" si="2"/>
        <v>0.0859</v>
      </c>
      <c r="C9" s="7">
        <f>8.59/100</f>
        <v>0.0859</v>
      </c>
      <c r="G9" s="15">
        <v>399.0</v>
      </c>
      <c r="H9" s="13" t="s">
        <v>19</v>
      </c>
      <c r="I9" s="14"/>
      <c r="J9" s="24">
        <v>399.0</v>
      </c>
      <c r="K9" s="19" t="s">
        <v>19</v>
      </c>
      <c r="L9" s="20"/>
    </row>
    <row r="10" ht="15.75" customHeight="1">
      <c r="A10" s="7" t="s">
        <v>25</v>
      </c>
      <c r="B10" s="9">
        <f t="shared" si="2"/>
        <v>0.0897</v>
      </c>
      <c r="C10" s="7">
        <f>8.97/100</f>
        <v>0.0897</v>
      </c>
      <c r="G10" s="21">
        <v>800.0</v>
      </c>
      <c r="H10" s="22" t="s">
        <v>26</v>
      </c>
      <c r="I10" s="23"/>
      <c r="J10" s="21">
        <v>800.0</v>
      </c>
      <c r="K10" s="26" t="s">
        <v>26</v>
      </c>
      <c r="L10" s="27"/>
    </row>
    <row r="11" ht="15.75" customHeight="1">
      <c r="A11" s="7" t="s">
        <v>29</v>
      </c>
      <c r="B11" s="9">
        <f t="shared" si="2"/>
        <v>0.866</v>
      </c>
      <c r="C11" s="7">
        <f>43.3/50</f>
        <v>0.866</v>
      </c>
      <c r="G11" s="15"/>
      <c r="H11" s="13"/>
      <c r="I11" s="14"/>
      <c r="J11" s="24"/>
      <c r="K11" s="19"/>
      <c r="L11" s="20"/>
    </row>
    <row r="12" ht="15.75" customHeight="1">
      <c r="A12" s="7" t="s">
        <v>31</v>
      </c>
      <c r="B12" s="9">
        <f t="shared" si="2"/>
        <v>0.1574</v>
      </c>
      <c r="C12" s="7">
        <f>15.74/100</f>
        <v>0.1574</v>
      </c>
      <c r="G12" s="25">
        <f>SUM(G6:G10)</f>
        <v>12298</v>
      </c>
      <c r="H12" s="22" t="s">
        <v>32</v>
      </c>
      <c r="I12" s="23"/>
      <c r="J12" s="29">
        <f>SUM(J6:J10)</f>
        <v>13598</v>
      </c>
      <c r="K12" s="26" t="s">
        <v>32</v>
      </c>
      <c r="L12" s="27"/>
    </row>
    <row r="13" ht="15.75" customHeight="1">
      <c r="A13" s="7" t="s">
        <v>34</v>
      </c>
      <c r="B13" s="9">
        <f t="shared" si="2"/>
        <v>0.008</v>
      </c>
      <c r="C13" s="7">
        <f>8/1000</f>
        <v>0.008</v>
      </c>
      <c r="G13" s="13"/>
      <c r="H13" s="13"/>
      <c r="I13" s="13"/>
      <c r="J13" s="19"/>
      <c r="K13" s="19"/>
      <c r="L13" s="19"/>
    </row>
    <row r="14" ht="15.75" customHeight="1">
      <c r="A14" s="7" t="s">
        <v>35</v>
      </c>
      <c r="B14" s="9">
        <f t="shared" si="2"/>
        <v>0.02</v>
      </c>
      <c r="C14" s="7">
        <v>0.02</v>
      </c>
      <c r="G14" s="13">
        <v>8.0</v>
      </c>
      <c r="H14" s="13" t="s">
        <v>36</v>
      </c>
      <c r="I14" s="13"/>
      <c r="J14" s="19">
        <v>8.0</v>
      </c>
      <c r="K14" s="19" t="s">
        <v>36</v>
      </c>
      <c r="L14" s="19"/>
    </row>
    <row r="15" ht="15.75" customHeight="1">
      <c r="A15" s="7" t="s">
        <v>37</v>
      </c>
      <c r="B15" s="9">
        <f t="shared" si="2"/>
        <v>0.256</v>
      </c>
      <c r="C15" s="7">
        <f>16/250*4</f>
        <v>0.256</v>
      </c>
      <c r="G15" s="13"/>
      <c r="H15" s="13"/>
      <c r="I15" s="13"/>
      <c r="J15" s="19"/>
      <c r="K15" s="19"/>
      <c r="L15" s="19"/>
    </row>
    <row r="16" ht="15.75" customHeight="1">
      <c r="A16" s="7" t="s">
        <v>41</v>
      </c>
      <c r="B16" s="9">
        <f t="shared" si="2"/>
        <v>0.384</v>
      </c>
      <c r="C16" s="7">
        <f>16/250*6</f>
        <v>0.384</v>
      </c>
      <c r="G16" s="13">
        <v>20.0</v>
      </c>
      <c r="H16" s="13" t="s">
        <v>42</v>
      </c>
      <c r="I16" s="13"/>
      <c r="J16" s="19">
        <v>20.0</v>
      </c>
      <c r="K16" s="19" t="s">
        <v>42</v>
      </c>
      <c r="L16" s="19"/>
    </row>
    <row r="17" ht="15.75" customHeight="1">
      <c r="A17" s="7" t="s">
        <v>43</v>
      </c>
      <c r="B17" s="9">
        <f t="shared" si="2"/>
        <v>0.34</v>
      </c>
      <c r="C17" s="7">
        <f>8.5/50*2</f>
        <v>0.34</v>
      </c>
      <c r="G17" s="13"/>
      <c r="H17" s="13"/>
      <c r="I17" s="13"/>
      <c r="J17" s="19"/>
      <c r="K17" s="19"/>
      <c r="L17" s="19"/>
    </row>
    <row r="18" ht="15.75" customHeight="1">
      <c r="A18" s="7" t="s">
        <v>44</v>
      </c>
      <c r="B18" s="9">
        <f t="shared" si="2"/>
        <v>0.04375</v>
      </c>
      <c r="C18" s="7">
        <f>(35/100)/8</f>
        <v>0.04375</v>
      </c>
      <c r="G18" s="13">
        <v>6.0</v>
      </c>
      <c r="H18" s="13" t="s">
        <v>45</v>
      </c>
      <c r="I18" s="13"/>
      <c r="J18" s="19">
        <v>7.0</v>
      </c>
      <c r="K18" s="19" t="s">
        <v>45</v>
      </c>
      <c r="L18" s="19"/>
    </row>
    <row r="19" ht="15.75" customHeight="1">
      <c r="A19" s="7" t="s">
        <v>46</v>
      </c>
      <c r="B19" s="9">
        <f t="shared" si="2"/>
        <v>0.1325</v>
      </c>
      <c r="C19" s="7">
        <f>13.25/100</f>
        <v>0.1325</v>
      </c>
      <c r="G19" s="30"/>
      <c r="H19" s="13"/>
      <c r="I19" s="13"/>
      <c r="J19" s="36"/>
      <c r="K19" s="19"/>
      <c r="L19" s="19"/>
    </row>
    <row r="20" ht="15.75" customHeight="1">
      <c r="A20" s="31" t="s">
        <v>49</v>
      </c>
      <c r="B20" s="33">
        <f t="shared" si="2"/>
        <v>0.05364583333</v>
      </c>
      <c r="C20" s="31">
        <f>309/144/40</f>
        <v>0.05364583333</v>
      </c>
      <c r="G20" s="30">
        <f>(G12/G16)/G14/G18</f>
        <v>12.81041667</v>
      </c>
      <c r="H20" s="13" t="s">
        <v>51</v>
      </c>
      <c r="I20" s="13"/>
      <c r="J20" s="36">
        <f>(J12/J16)/J14/J18</f>
        <v>12.14107143</v>
      </c>
      <c r="K20" s="19" t="s">
        <v>51</v>
      </c>
      <c r="L20" s="19"/>
    </row>
    <row r="21" ht="15.75" customHeight="1">
      <c r="A21" s="31" t="s">
        <v>52</v>
      </c>
      <c r="B21" s="33">
        <f t="shared" si="2"/>
        <v>0.071625</v>
      </c>
      <c r="C21" s="31">
        <f>28.65/400</f>
        <v>0.071625</v>
      </c>
      <c r="G21" s="35" t="s">
        <v>53</v>
      </c>
      <c r="H21" s="37"/>
      <c r="I21" s="38"/>
      <c r="J21" s="41" t="s">
        <v>59</v>
      </c>
      <c r="K21" s="41"/>
      <c r="L21" s="41"/>
      <c r="M21" s="35" t="s">
        <v>61</v>
      </c>
      <c r="N21" s="37"/>
      <c r="O21" s="38"/>
    </row>
    <row r="22" ht="15.75" customHeight="1">
      <c r="A22" s="31" t="s">
        <v>56</v>
      </c>
      <c r="B22" s="33">
        <f t="shared" si="2"/>
        <v>1.18125</v>
      </c>
      <c r="C22" s="31">
        <f>94.5/20/4</f>
        <v>1.18125</v>
      </c>
      <c r="G22" s="39">
        <v>7000.0</v>
      </c>
      <c r="H22" s="37" t="s">
        <v>8</v>
      </c>
      <c r="I22" s="38"/>
      <c r="J22" s="44">
        <v>1700.0</v>
      </c>
      <c r="K22" s="45" t="s">
        <v>8</v>
      </c>
      <c r="L22" s="46"/>
      <c r="M22" s="39">
        <v>9500.0</v>
      </c>
      <c r="N22" s="37" t="s">
        <v>8</v>
      </c>
      <c r="O22" s="38"/>
    </row>
    <row r="23" ht="15.75" customHeight="1">
      <c r="A23" s="31" t="s">
        <v>57</v>
      </c>
      <c r="B23" s="33">
        <f t="shared" si="2"/>
        <v>1.19</v>
      </c>
      <c r="C23" s="31">
        <f>0.05*(119/5)</f>
        <v>1.19</v>
      </c>
      <c r="G23" s="12">
        <v>2500.0</v>
      </c>
      <c r="H23" s="40" t="s">
        <v>12</v>
      </c>
      <c r="I23" s="42"/>
      <c r="J23" s="12">
        <v>2500.0</v>
      </c>
      <c r="K23" s="41" t="s">
        <v>12</v>
      </c>
      <c r="L23" s="48"/>
      <c r="M23" s="12">
        <v>2500.0</v>
      </c>
      <c r="N23" s="40" t="s">
        <v>12</v>
      </c>
      <c r="O23" s="42"/>
    </row>
    <row r="24" ht="15.75" customHeight="1">
      <c r="A24" s="31" t="s">
        <v>62</v>
      </c>
      <c r="B24" s="33">
        <f t="shared" si="2"/>
        <v>1.185714286</v>
      </c>
      <c r="C24" s="31">
        <f>(83/2)/35</f>
        <v>1.185714286</v>
      </c>
      <c r="G24" s="43">
        <v>99.0</v>
      </c>
      <c r="H24" s="40" t="s">
        <v>16</v>
      </c>
      <c r="I24" s="42"/>
      <c r="J24" s="50">
        <v>99.0</v>
      </c>
      <c r="K24" s="41" t="s">
        <v>16</v>
      </c>
      <c r="L24" s="48"/>
      <c r="M24" s="43">
        <v>99.0</v>
      </c>
      <c r="N24" s="40" t="s">
        <v>16</v>
      </c>
      <c r="O24" s="42"/>
    </row>
    <row r="25" ht="15.75" customHeight="1">
      <c r="A25" s="7" t="s">
        <v>63</v>
      </c>
      <c r="B25" s="9">
        <f t="shared" si="2"/>
        <v>0.09583333333</v>
      </c>
      <c r="C25" s="7">
        <f>1.15/12</f>
        <v>0.09583333333</v>
      </c>
      <c r="G25" s="43">
        <v>399.0</v>
      </c>
      <c r="H25" s="40" t="s">
        <v>19</v>
      </c>
      <c r="I25" s="42"/>
      <c r="J25" s="50">
        <v>399.0</v>
      </c>
      <c r="K25" s="41" t="s">
        <v>19</v>
      </c>
      <c r="L25" s="48"/>
      <c r="M25" s="43">
        <v>399.0</v>
      </c>
      <c r="N25" s="40" t="s">
        <v>19</v>
      </c>
      <c r="O25" s="42"/>
    </row>
    <row r="26" ht="15.75" customHeight="1">
      <c r="A26" s="7" t="s">
        <v>64</v>
      </c>
      <c r="B26" s="9">
        <f t="shared" si="2"/>
        <v>0.4679</v>
      </c>
      <c r="C26" s="7">
        <f>46.79/100</f>
        <v>0.4679</v>
      </c>
      <c r="G26" s="21">
        <v>800.0</v>
      </c>
      <c r="H26" s="47" t="s">
        <v>26</v>
      </c>
      <c r="I26" s="49"/>
      <c r="J26" s="21">
        <v>300.0</v>
      </c>
      <c r="K26" s="54" t="s">
        <v>26</v>
      </c>
      <c r="L26" s="55"/>
      <c r="M26" s="21">
        <v>800.0</v>
      </c>
      <c r="N26" s="47" t="s">
        <v>26</v>
      </c>
      <c r="O26" s="49"/>
    </row>
    <row r="27" ht="15.75" customHeight="1">
      <c r="A27" s="7" t="s">
        <v>66</v>
      </c>
      <c r="B27" s="9">
        <f t="shared" si="2"/>
        <v>2.1175</v>
      </c>
      <c r="C27" s="7">
        <f>84.7/40</f>
        <v>2.1175</v>
      </c>
      <c r="G27" s="43"/>
      <c r="H27" s="40"/>
      <c r="I27" s="42"/>
      <c r="J27" s="50"/>
      <c r="K27" s="41"/>
      <c r="L27" s="48"/>
      <c r="M27" s="43"/>
      <c r="N27" s="40"/>
      <c r="O27" s="42"/>
    </row>
    <row r="28" ht="15.75" customHeight="1">
      <c r="A28" s="7"/>
      <c r="B28" s="9"/>
      <c r="C28" s="7"/>
      <c r="G28" s="51">
        <f>SUM(G22:G26)</f>
        <v>10798</v>
      </c>
      <c r="H28" s="47" t="s">
        <v>32</v>
      </c>
      <c r="I28" s="49"/>
      <c r="J28" s="56">
        <f>SUM(J22:J26)</f>
        <v>4998</v>
      </c>
      <c r="K28" s="54" t="s">
        <v>32</v>
      </c>
      <c r="L28" s="55"/>
      <c r="M28" s="51">
        <f>SUM(M22:M26)</f>
        <v>13298</v>
      </c>
      <c r="N28" s="47" t="s">
        <v>32</v>
      </c>
      <c r="O28" s="49"/>
    </row>
    <row r="29" ht="15.75" customHeight="1">
      <c r="A29" s="7" t="s">
        <v>70</v>
      </c>
      <c r="B29" s="9">
        <f t="shared" ref="B29:B36" si="3">C29</f>
        <v>0.01964285714</v>
      </c>
      <c r="C29" s="7">
        <f>(5.5/140)/2</f>
        <v>0.01964285714</v>
      </c>
      <c r="G29" s="52"/>
      <c r="H29" s="40"/>
      <c r="I29" s="42"/>
      <c r="J29" s="41"/>
      <c r="K29" s="41"/>
      <c r="L29" s="41"/>
      <c r="M29" s="52"/>
      <c r="N29" s="40"/>
      <c r="O29" s="42"/>
    </row>
    <row r="30" ht="15.75" customHeight="1">
      <c r="A30" s="41" t="s">
        <v>74</v>
      </c>
      <c r="B30" s="53">
        <f t="shared" si="3"/>
        <v>0.0225</v>
      </c>
      <c r="C30" s="41">
        <f>4.5/200</f>
        <v>0.0225</v>
      </c>
      <c r="G30" s="52">
        <v>8.0</v>
      </c>
      <c r="H30" s="40" t="s">
        <v>36</v>
      </c>
      <c r="I30" s="42"/>
      <c r="J30" s="41">
        <v>9.0</v>
      </c>
      <c r="K30" s="41" t="s">
        <v>36</v>
      </c>
      <c r="L30" s="41"/>
      <c r="M30" s="52">
        <v>8.0</v>
      </c>
      <c r="N30" s="40" t="s">
        <v>36</v>
      </c>
      <c r="O30" s="42"/>
    </row>
    <row r="31" ht="15.75" customHeight="1">
      <c r="A31" s="41" t="s">
        <v>75</v>
      </c>
      <c r="B31" s="53">
        <f t="shared" si="3"/>
        <v>0.055</v>
      </c>
      <c r="C31" s="41">
        <f>5.5/200*2</f>
        <v>0.055</v>
      </c>
      <c r="G31" s="52"/>
      <c r="H31" s="40"/>
      <c r="I31" s="42"/>
      <c r="J31" s="41"/>
      <c r="K31" s="41"/>
      <c r="L31" s="41"/>
      <c r="M31" s="52"/>
      <c r="N31" s="40"/>
      <c r="O31" s="42"/>
    </row>
    <row r="32" ht="15.75" customHeight="1">
      <c r="A32" s="41" t="s">
        <v>76</v>
      </c>
      <c r="B32" s="53">
        <f t="shared" si="3"/>
        <v>0.01995</v>
      </c>
      <c r="C32" s="41">
        <f>3.99/200</f>
        <v>0.01995</v>
      </c>
      <c r="G32" s="52">
        <v>16.0</v>
      </c>
      <c r="H32" s="40" t="s">
        <v>42</v>
      </c>
      <c r="I32" s="42"/>
      <c r="J32" s="41">
        <v>12.0</v>
      </c>
      <c r="K32" s="41" t="s">
        <v>42</v>
      </c>
      <c r="L32" s="41"/>
      <c r="M32" s="52">
        <v>20.0</v>
      </c>
      <c r="N32" s="40" t="s">
        <v>42</v>
      </c>
      <c r="O32" s="42"/>
    </row>
    <row r="33" ht="15.75" customHeight="1">
      <c r="A33" s="41" t="s">
        <v>77</v>
      </c>
      <c r="B33" s="53">
        <f t="shared" si="3"/>
        <v>0.05735</v>
      </c>
      <c r="C33" s="41">
        <f>11.47/200</f>
        <v>0.05735</v>
      </c>
      <c r="G33" s="52"/>
      <c r="H33" s="40"/>
      <c r="I33" s="42"/>
      <c r="J33" s="41"/>
      <c r="K33" s="41"/>
      <c r="L33" s="41"/>
      <c r="M33" s="52"/>
      <c r="N33" s="40"/>
      <c r="O33" s="42"/>
    </row>
    <row r="34" ht="15.75" customHeight="1">
      <c r="A34" s="41" t="s">
        <v>78</v>
      </c>
      <c r="B34" s="53">
        <f t="shared" si="3"/>
        <v>0.215</v>
      </c>
      <c r="C34" s="41">
        <f>(21.5/100)</f>
        <v>0.215</v>
      </c>
      <c r="G34" s="52">
        <v>4.0</v>
      </c>
      <c r="H34" s="40" t="s">
        <v>45</v>
      </c>
      <c r="I34" s="42"/>
      <c r="J34" s="41">
        <v>3.0</v>
      </c>
      <c r="K34" s="41" t="s">
        <v>45</v>
      </c>
      <c r="L34" s="41"/>
      <c r="M34" s="52">
        <v>9.0</v>
      </c>
      <c r="N34" s="40" t="s">
        <v>45</v>
      </c>
      <c r="O34" s="42"/>
    </row>
    <row r="35" ht="15.75" customHeight="1">
      <c r="A35" s="41" t="s">
        <v>79</v>
      </c>
      <c r="B35" s="53">
        <f t="shared" si="3"/>
        <v>0.100625</v>
      </c>
      <c r="C35" s="41">
        <f>(8.05/160)*2</f>
        <v>0.100625</v>
      </c>
      <c r="G35" s="57"/>
      <c r="H35" s="40"/>
      <c r="I35" s="42"/>
      <c r="J35" s="53"/>
      <c r="K35" s="41"/>
      <c r="L35" s="41"/>
      <c r="M35" s="57"/>
      <c r="N35" s="40"/>
      <c r="O35" s="42"/>
    </row>
    <row r="36" ht="15.75" customHeight="1">
      <c r="A36" s="41" t="s">
        <v>80</v>
      </c>
      <c r="B36" s="53">
        <f t="shared" si="3"/>
        <v>0.0503125</v>
      </c>
      <c r="C36" s="41">
        <f>(8.05/160)</f>
        <v>0.0503125</v>
      </c>
      <c r="G36" s="58">
        <f>(G28/G32)/G30/G34</f>
        <v>21.08984375</v>
      </c>
      <c r="H36" s="47" t="s">
        <v>51</v>
      </c>
      <c r="I36" s="49"/>
      <c r="J36" s="53">
        <f>(J28/J32)/J30/J34</f>
        <v>15.42592593</v>
      </c>
      <c r="K36" s="41" t="s">
        <v>51</v>
      </c>
      <c r="L36" s="41"/>
      <c r="M36" s="58">
        <f>(M28/M32)/M30/M34</f>
        <v>9.234722222</v>
      </c>
      <c r="N36" s="47" t="s">
        <v>51</v>
      </c>
      <c r="O36" s="49"/>
    </row>
    <row r="37" ht="15.75" customHeight="1">
      <c r="G37" s="59" t="s">
        <v>82</v>
      </c>
      <c r="H37" s="60"/>
      <c r="I37" s="61"/>
      <c r="J37" s="75" t="s">
        <v>93</v>
      </c>
      <c r="K37" s="77"/>
      <c r="L37" s="78"/>
      <c r="M37" s="79" t="s">
        <v>98</v>
      </c>
      <c r="N37" s="80"/>
      <c r="O37" s="82"/>
    </row>
    <row r="38" ht="15.75" customHeight="1">
      <c r="G38" s="62">
        <v>2000.0</v>
      </c>
      <c r="H38" s="60" t="s">
        <v>8</v>
      </c>
      <c r="I38" s="61"/>
      <c r="J38" s="84">
        <v>2400.0</v>
      </c>
      <c r="K38" s="77" t="s">
        <v>8</v>
      </c>
      <c r="L38" s="78"/>
      <c r="M38" s="85">
        <v>1200.0</v>
      </c>
      <c r="N38" s="80" t="s">
        <v>8</v>
      </c>
      <c r="O38" s="82"/>
    </row>
    <row r="39" ht="15.75" customHeight="1">
      <c r="G39" s="12">
        <v>2500.0</v>
      </c>
      <c r="H39" s="63" t="s">
        <v>12</v>
      </c>
      <c r="I39" s="64"/>
      <c r="J39" s="12">
        <v>2500.0</v>
      </c>
      <c r="K39" s="86" t="s">
        <v>12</v>
      </c>
      <c r="L39" s="88"/>
      <c r="M39" s="90">
        <v>2500.0</v>
      </c>
      <c r="N39" s="91" t="s">
        <v>12</v>
      </c>
      <c r="O39" s="92"/>
    </row>
    <row r="40" ht="15.75" customHeight="1">
      <c r="G40" s="65">
        <v>99.0</v>
      </c>
      <c r="H40" s="63" t="s">
        <v>16</v>
      </c>
      <c r="I40" s="64"/>
      <c r="J40" s="94">
        <v>99.0</v>
      </c>
      <c r="K40" s="86" t="s">
        <v>16</v>
      </c>
      <c r="L40" s="88"/>
      <c r="M40" s="90">
        <v>99.0</v>
      </c>
      <c r="N40" s="91" t="s">
        <v>16</v>
      </c>
      <c r="O40" s="92"/>
    </row>
    <row r="41" ht="15.75" customHeight="1">
      <c r="G41" s="65">
        <v>399.0</v>
      </c>
      <c r="H41" s="63" t="s">
        <v>19</v>
      </c>
      <c r="I41" s="64"/>
      <c r="J41" s="94">
        <v>399.0</v>
      </c>
      <c r="K41" s="86" t="s">
        <v>19</v>
      </c>
      <c r="L41" s="88"/>
      <c r="M41" s="90">
        <v>399.0</v>
      </c>
      <c r="N41" s="91" t="s">
        <v>19</v>
      </c>
      <c r="O41" s="92"/>
    </row>
    <row r="42" ht="15.75" customHeight="1">
      <c r="G42" s="21">
        <v>400.0</v>
      </c>
      <c r="H42" s="66" t="s">
        <v>26</v>
      </c>
      <c r="I42" s="67"/>
      <c r="J42" s="96">
        <v>0.0</v>
      </c>
      <c r="K42" s="97" t="s">
        <v>26</v>
      </c>
      <c r="L42" s="99"/>
      <c r="M42" s="100">
        <v>0.0</v>
      </c>
      <c r="N42" s="101" t="s">
        <v>26</v>
      </c>
      <c r="O42" s="102"/>
    </row>
    <row r="43" ht="15.75" customHeight="1">
      <c r="A43" s="68" t="s">
        <v>88</v>
      </c>
      <c r="B43" s="69">
        <v>75.0</v>
      </c>
      <c r="C43" s="70"/>
      <c r="G43" s="65"/>
      <c r="H43" s="63"/>
      <c r="I43" s="64"/>
      <c r="J43" s="94"/>
      <c r="K43" s="86"/>
      <c r="L43" s="88"/>
      <c r="M43" s="90"/>
      <c r="N43" s="91"/>
      <c r="O43" s="92"/>
    </row>
    <row r="44" ht="15.75" customHeight="1">
      <c r="A44" s="70" t="s">
        <v>91</v>
      </c>
      <c r="B44" s="73">
        <f>0.285*B43</f>
        <v>21.375</v>
      </c>
      <c r="C44" s="74">
        <f>B44/B43</f>
        <v>0.285</v>
      </c>
      <c r="G44" s="76">
        <f>SUM(G38:G42)</f>
        <v>5398</v>
      </c>
      <c r="H44" s="66" t="s">
        <v>32</v>
      </c>
      <c r="I44" s="67"/>
      <c r="J44" s="96">
        <f>SUM(J38:J42)</f>
        <v>5398</v>
      </c>
      <c r="K44" s="97" t="s">
        <v>32</v>
      </c>
      <c r="L44" s="99"/>
      <c r="M44" s="100">
        <f>SUM(M38:M42)</f>
        <v>4198</v>
      </c>
      <c r="N44" s="101" t="s">
        <v>32</v>
      </c>
      <c r="O44" s="102"/>
    </row>
    <row r="45" ht="15.75" customHeight="1">
      <c r="A45" s="7" t="s">
        <v>97</v>
      </c>
      <c r="B45" s="9">
        <f>0.66666*G20</f>
        <v>8.540192375</v>
      </c>
      <c r="C45" s="81">
        <f>B45/B43</f>
        <v>0.1138692317</v>
      </c>
      <c r="G45" s="83"/>
      <c r="H45" s="63"/>
      <c r="I45" s="64"/>
      <c r="J45" s="104"/>
      <c r="K45" s="86"/>
      <c r="L45" s="88"/>
      <c r="M45" s="105"/>
      <c r="N45" s="91"/>
      <c r="O45" s="92"/>
    </row>
    <row r="46" ht="15.75" customHeight="1">
      <c r="A46" s="7" t="s">
        <v>104</v>
      </c>
      <c r="B46" s="9">
        <v>12.67</v>
      </c>
      <c r="C46" s="81">
        <f>B46/B43</f>
        <v>0.1689333333</v>
      </c>
      <c r="G46" s="83">
        <v>8.0</v>
      </c>
      <c r="H46" s="63" t="s">
        <v>36</v>
      </c>
      <c r="I46" s="64"/>
      <c r="J46" s="104">
        <v>8.0</v>
      </c>
      <c r="K46" s="86" t="s">
        <v>36</v>
      </c>
      <c r="L46" s="88"/>
      <c r="M46" s="105">
        <v>8.0</v>
      </c>
      <c r="N46" s="91" t="s">
        <v>36</v>
      </c>
      <c r="O46" s="92"/>
    </row>
    <row r="47" ht="15.75" customHeight="1">
      <c r="A47" s="4" t="s">
        <v>106</v>
      </c>
      <c r="B47" s="1">
        <f>B4</f>
        <v>9.39553631</v>
      </c>
      <c r="C47" s="87">
        <f>B47/B43</f>
        <v>0.1252738175</v>
      </c>
      <c r="G47" s="83"/>
      <c r="H47" s="63"/>
      <c r="I47" s="64"/>
      <c r="J47" s="104"/>
      <c r="K47" s="86"/>
      <c r="L47" s="88"/>
      <c r="M47" s="105"/>
      <c r="N47" s="91"/>
      <c r="O47" s="92"/>
    </row>
    <row r="48" ht="15.75" customHeight="1">
      <c r="A48" s="89" t="s">
        <v>108</v>
      </c>
      <c r="B48" s="93">
        <f>B43-SUM(B44:B47)</f>
        <v>23.01927132</v>
      </c>
      <c r="C48" s="95">
        <f>B48/B43</f>
        <v>0.3069236175</v>
      </c>
      <c r="D48" s="4"/>
      <c r="G48" s="83">
        <v>16.0</v>
      </c>
      <c r="H48" s="63" t="s">
        <v>42</v>
      </c>
      <c r="I48" s="64"/>
      <c r="J48" s="104">
        <v>16.0</v>
      </c>
      <c r="K48" s="86" t="s">
        <v>42</v>
      </c>
      <c r="L48" s="88"/>
      <c r="M48" s="105">
        <v>16.0</v>
      </c>
      <c r="N48" s="91" t="s">
        <v>42</v>
      </c>
      <c r="O48" s="92"/>
    </row>
    <row r="49" ht="15.75" customHeight="1">
      <c r="G49" s="83"/>
      <c r="H49" s="63"/>
      <c r="I49" s="64"/>
      <c r="J49" s="104"/>
      <c r="K49" s="86"/>
      <c r="L49" s="88"/>
      <c r="M49" s="105"/>
      <c r="N49" s="91"/>
      <c r="O49" s="92"/>
    </row>
    <row r="50" ht="15.75" customHeight="1">
      <c r="G50" s="83">
        <v>3.0</v>
      </c>
      <c r="H50" s="63" t="s">
        <v>45</v>
      </c>
      <c r="I50" s="64"/>
      <c r="J50" s="104">
        <v>5.0</v>
      </c>
      <c r="K50" s="86" t="s">
        <v>45</v>
      </c>
      <c r="L50" s="88"/>
      <c r="M50" s="105">
        <v>3.0</v>
      </c>
      <c r="N50" s="91" t="s">
        <v>45</v>
      </c>
      <c r="O50" s="92"/>
    </row>
    <row r="51" ht="15.75" customHeight="1">
      <c r="A51" s="68" t="s">
        <v>109</v>
      </c>
      <c r="B51" s="69">
        <v>59.0</v>
      </c>
      <c r="C51" s="70"/>
      <c r="G51" s="98"/>
      <c r="H51" s="63"/>
      <c r="I51" s="64"/>
      <c r="J51" s="106"/>
      <c r="K51" s="86"/>
      <c r="L51" s="88"/>
      <c r="M51" s="107"/>
      <c r="N51" s="91"/>
      <c r="O51" s="92"/>
    </row>
    <row r="52" ht="15.75" customHeight="1">
      <c r="A52" s="70" t="s">
        <v>91</v>
      </c>
      <c r="B52" s="73">
        <f>0.285*B51</f>
        <v>16.815</v>
      </c>
      <c r="C52" s="74">
        <f>B52/B51</f>
        <v>0.285</v>
      </c>
      <c r="G52" s="103">
        <f>(G44/G48)/G46/G50</f>
        <v>14.05729167</v>
      </c>
      <c r="H52" s="66" t="s">
        <v>51</v>
      </c>
      <c r="I52" s="67"/>
      <c r="J52" s="108">
        <f>(J44/J48)/J46/J50</f>
        <v>8.434375</v>
      </c>
      <c r="K52" s="97" t="s">
        <v>51</v>
      </c>
      <c r="L52" s="99"/>
      <c r="M52" s="109">
        <f>(M44/M48)/M46/M50</f>
        <v>10.93229167</v>
      </c>
      <c r="N52" s="101" t="s">
        <v>51</v>
      </c>
      <c r="O52" s="102"/>
    </row>
    <row r="53" ht="15.75" customHeight="1">
      <c r="A53" s="7" t="s">
        <v>105</v>
      </c>
      <c r="B53" s="9">
        <v>6.41</v>
      </c>
      <c r="C53" s="81">
        <f>B52:B53/B51</f>
        <v>0.1086440678</v>
      </c>
    </row>
    <row r="54" ht="15.75" customHeight="1">
      <c r="A54" s="7" t="s">
        <v>107</v>
      </c>
      <c r="B54" s="9">
        <v>9.5</v>
      </c>
      <c r="C54" s="81">
        <f>B53:B54/B51</f>
        <v>0.1610169492</v>
      </c>
    </row>
    <row r="55" ht="15.75" customHeight="1">
      <c r="A55" s="4" t="s">
        <v>106</v>
      </c>
      <c r="B55" s="1">
        <f>B47</f>
        <v>9.39553631</v>
      </c>
      <c r="C55" s="87">
        <f>B54:B55/B51</f>
        <v>0.1592463781</v>
      </c>
    </row>
    <row r="56" ht="15.75" customHeight="1">
      <c r="A56" s="89" t="s">
        <v>108</v>
      </c>
      <c r="B56" s="93">
        <f>B51-SUM(B52:B55)</f>
        <v>16.87946369</v>
      </c>
      <c r="C56" s="95">
        <f>B55/B51</f>
        <v>0.1592463781</v>
      </c>
    </row>
    <row r="57" ht="15.75" customHeight="1"/>
    <row r="58" ht="15.75" customHeight="1"/>
    <row r="59" ht="15.75" customHeight="1"/>
    <row r="60" ht="15.75" customHeight="1"/>
    <row r="61" ht="15.75" customHeight="1">
      <c r="A61" s="68" t="s">
        <v>110</v>
      </c>
      <c r="B61" s="69">
        <v>87.0</v>
      </c>
      <c r="C61" s="70"/>
    </row>
    <row r="62" ht="15.75" customHeight="1">
      <c r="A62" s="70" t="s">
        <v>91</v>
      </c>
      <c r="B62" s="73">
        <f>0.285*B61</f>
        <v>24.795</v>
      </c>
      <c r="C62" s="74">
        <f>B62/B61</f>
        <v>0.285</v>
      </c>
    </row>
    <row r="63" ht="15.75" customHeight="1">
      <c r="A63" s="7" t="s">
        <v>111</v>
      </c>
      <c r="B63" s="9">
        <v>10.25</v>
      </c>
      <c r="C63" s="81">
        <f>B62:B63/B61</f>
        <v>0.117816092</v>
      </c>
    </row>
    <row r="64" ht="15.75" customHeight="1">
      <c r="A64" s="7" t="s">
        <v>112</v>
      </c>
      <c r="B64" s="9">
        <v>15.2</v>
      </c>
      <c r="C64" s="81">
        <f>B63:B64/B61</f>
        <v>0.1747126437</v>
      </c>
    </row>
    <row r="65" ht="15.75" customHeight="1">
      <c r="A65" s="4" t="s">
        <v>106</v>
      </c>
      <c r="B65" s="1">
        <f>B55</f>
        <v>9.39553631</v>
      </c>
      <c r="C65" s="87">
        <f>B64:B65/B61</f>
        <v>0.1079946702</v>
      </c>
    </row>
    <row r="66" ht="15.75" customHeight="1">
      <c r="A66" s="89" t="s">
        <v>108</v>
      </c>
      <c r="B66" s="93">
        <f>B61-SUM(B62:B65)</f>
        <v>27.35946369</v>
      </c>
      <c r="C66" s="95">
        <f>B66/B61</f>
        <v>0.3144765941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0.14"/>
    <col customWidth="1" min="2" max="6" width="14.43"/>
  </cols>
  <sheetData>
    <row r="1" ht="15.75" customHeight="1">
      <c r="A1" s="2" t="s">
        <v>0</v>
      </c>
      <c r="B1" s="3">
        <f>SUM(B72,B62,B4)</f>
        <v>34.19053631</v>
      </c>
      <c r="C1" s="4" t="s">
        <v>3</v>
      </c>
    </row>
    <row r="2" ht="15.75" customHeight="1">
      <c r="B2" s="1"/>
    </row>
    <row r="3" ht="15.75" customHeight="1">
      <c r="A3" s="4"/>
      <c r="B3" s="1"/>
    </row>
    <row r="4" ht="15.75" customHeight="1">
      <c r="B4" s="1">
        <f>SUM(B5:B38)</f>
        <v>9.39553631</v>
      </c>
    </row>
    <row r="5" ht="15.75" customHeight="1">
      <c r="A5" s="7" t="s">
        <v>7</v>
      </c>
      <c r="B5" s="9">
        <f t="shared" ref="B5:B7" si="1">C6</f>
        <v>0.01935</v>
      </c>
      <c r="C5" s="7">
        <f>87.5/5000*2</f>
        <v>0.035</v>
      </c>
      <c r="G5" s="4" t="s">
        <v>10</v>
      </c>
    </row>
    <row r="6" ht="15.75" customHeight="1">
      <c r="A6" s="7" t="s">
        <v>11</v>
      </c>
      <c r="B6" s="9">
        <f t="shared" si="1"/>
        <v>0.0040875</v>
      </c>
      <c r="C6" s="7">
        <f>19.35/2000*2</f>
        <v>0.01935</v>
      </c>
      <c r="D6" s="4"/>
      <c r="G6" s="6">
        <f>30*2257/12</f>
        <v>5642.5</v>
      </c>
      <c r="H6" s="8" t="s">
        <v>8</v>
      </c>
      <c r="I6" s="10"/>
    </row>
    <row r="7" ht="15.75" customHeight="1">
      <c r="A7" s="7" t="s">
        <v>15</v>
      </c>
      <c r="B7" s="9">
        <f t="shared" si="1"/>
        <v>0.0425</v>
      </c>
      <c r="C7" s="7">
        <f>(3.27/200)/4</f>
        <v>0.0040875</v>
      </c>
      <c r="G7" s="12">
        <f>((18*30)+(21*30))*4.33</f>
        <v>5066.1</v>
      </c>
      <c r="H7" s="13" t="s">
        <v>12</v>
      </c>
      <c r="I7" s="14"/>
    </row>
    <row r="8" ht="15.75" customHeight="1">
      <c r="A8" s="7" t="s">
        <v>18</v>
      </c>
      <c r="B8" s="9">
        <f t="shared" ref="B8:B27" si="2">C8</f>
        <v>0.0425</v>
      </c>
      <c r="C8" s="7">
        <f>21.25/500</f>
        <v>0.0425</v>
      </c>
      <c r="G8" s="15">
        <v>169.0</v>
      </c>
      <c r="H8" s="13" t="s">
        <v>16</v>
      </c>
      <c r="I8" s="14"/>
    </row>
    <row r="9" ht="15.75" customHeight="1">
      <c r="A9" s="7" t="s">
        <v>21</v>
      </c>
      <c r="B9" s="9">
        <f t="shared" si="2"/>
        <v>0.0859</v>
      </c>
      <c r="C9" s="7">
        <f>8.59/100</f>
        <v>0.0859</v>
      </c>
      <c r="G9" s="15">
        <f>339+260</f>
        <v>599</v>
      </c>
      <c r="H9" s="13" t="s">
        <v>19</v>
      </c>
      <c r="I9" s="14"/>
    </row>
    <row r="10" ht="15.75" customHeight="1">
      <c r="A10" s="7" t="s">
        <v>25</v>
      </c>
      <c r="B10" s="9">
        <f t="shared" si="2"/>
        <v>0.0897</v>
      </c>
      <c r="C10" s="7">
        <f>8.97/100</f>
        <v>0.0897</v>
      </c>
      <c r="G10" s="21">
        <f>800+1300</f>
        <v>2100</v>
      </c>
      <c r="H10" s="22" t="s">
        <v>27</v>
      </c>
      <c r="I10" s="23"/>
    </row>
    <row r="11" ht="15.75" customHeight="1">
      <c r="A11" s="7" t="s">
        <v>29</v>
      </c>
      <c r="B11" s="9">
        <f t="shared" si="2"/>
        <v>0.866</v>
      </c>
      <c r="C11" s="7">
        <f>43.3/50</f>
        <v>0.866</v>
      </c>
      <c r="G11" s="15"/>
      <c r="H11" s="13"/>
      <c r="I11" s="14"/>
    </row>
    <row r="12" ht="15.75" customHeight="1">
      <c r="A12" s="7" t="s">
        <v>31</v>
      </c>
      <c r="B12" s="9">
        <f t="shared" si="2"/>
        <v>0.1574</v>
      </c>
      <c r="C12" s="7">
        <f>15.74/100</f>
        <v>0.1574</v>
      </c>
      <c r="G12" s="25">
        <f>SUM(G6:G10)</f>
        <v>13576.6</v>
      </c>
      <c r="H12" s="22" t="s">
        <v>32</v>
      </c>
      <c r="I12" s="23"/>
    </row>
    <row r="13" ht="15.75" customHeight="1">
      <c r="A13" s="7" t="s">
        <v>34</v>
      </c>
      <c r="B13" s="9">
        <f t="shared" si="2"/>
        <v>0.008</v>
      </c>
      <c r="C13" s="7">
        <f>8/1000</f>
        <v>0.008</v>
      </c>
      <c r="G13" s="13"/>
      <c r="H13" s="13"/>
      <c r="I13" s="13"/>
    </row>
    <row r="14" ht="15.75" customHeight="1">
      <c r="A14" s="7" t="s">
        <v>35</v>
      </c>
      <c r="B14" s="9">
        <f t="shared" si="2"/>
        <v>0.02</v>
      </c>
      <c r="C14" s="7">
        <v>0.02</v>
      </c>
      <c r="G14" s="13">
        <v>8.0</v>
      </c>
      <c r="H14" s="13" t="s">
        <v>36</v>
      </c>
      <c r="I14" s="13"/>
    </row>
    <row r="15" ht="15.75" customHeight="1">
      <c r="A15" s="7" t="s">
        <v>37</v>
      </c>
      <c r="B15" s="9">
        <f t="shared" si="2"/>
        <v>0.256</v>
      </c>
      <c r="C15" s="7">
        <f>16/250*4</f>
        <v>0.256</v>
      </c>
      <c r="G15" s="13"/>
      <c r="H15" s="13"/>
      <c r="I15" s="13"/>
    </row>
    <row r="16" ht="15.75" customHeight="1">
      <c r="A16" s="7" t="s">
        <v>41</v>
      </c>
      <c r="B16" s="9">
        <f t="shared" si="2"/>
        <v>0.384</v>
      </c>
      <c r="C16" s="7">
        <f>16/250*6</f>
        <v>0.384</v>
      </c>
      <c r="G16" s="13">
        <v>13.0</v>
      </c>
      <c r="H16" s="13" t="s">
        <v>42</v>
      </c>
      <c r="I16" s="13"/>
    </row>
    <row r="17" ht="15.75" customHeight="1">
      <c r="A17" s="7" t="s">
        <v>43</v>
      </c>
      <c r="B17" s="9">
        <f t="shared" si="2"/>
        <v>0.34</v>
      </c>
      <c r="C17" s="7">
        <f>8.5/50*2</f>
        <v>0.34</v>
      </c>
      <c r="G17" s="13"/>
      <c r="H17" s="13"/>
      <c r="I17" s="13"/>
    </row>
    <row r="18" ht="15.75" customHeight="1">
      <c r="A18" s="7" t="s">
        <v>44</v>
      </c>
      <c r="B18" s="9">
        <f t="shared" si="2"/>
        <v>0.04375</v>
      </c>
      <c r="C18" s="7">
        <f>(35/100)/8</f>
        <v>0.04375</v>
      </c>
      <c r="G18" s="13">
        <v>3.0</v>
      </c>
      <c r="H18" s="13" t="s">
        <v>45</v>
      </c>
      <c r="I18" s="13"/>
    </row>
    <row r="19" ht="15.75" customHeight="1">
      <c r="A19" s="7" t="s">
        <v>46</v>
      </c>
      <c r="B19" s="9">
        <f t="shared" si="2"/>
        <v>0.1325</v>
      </c>
      <c r="C19" s="7">
        <f>13.25/100</f>
        <v>0.1325</v>
      </c>
      <c r="G19" s="30"/>
      <c r="H19" s="13"/>
      <c r="I19" s="13"/>
    </row>
    <row r="20" ht="15.75" customHeight="1">
      <c r="A20" s="31" t="s">
        <v>49</v>
      </c>
      <c r="B20" s="33">
        <f t="shared" si="2"/>
        <v>0.05364583333</v>
      </c>
      <c r="C20" s="31">
        <f>309/144/40</f>
        <v>0.05364583333</v>
      </c>
      <c r="G20" s="30">
        <f>(G12/G16)/G14/G18</f>
        <v>43.51474359</v>
      </c>
      <c r="H20" s="13" t="s">
        <v>51</v>
      </c>
      <c r="I20" s="13"/>
    </row>
    <row r="21" ht="15.75" customHeight="1">
      <c r="A21" s="31" t="s">
        <v>52</v>
      </c>
      <c r="B21" s="33">
        <f t="shared" si="2"/>
        <v>0.071625</v>
      </c>
      <c r="C21" s="31">
        <f>28.65/400</f>
        <v>0.071625</v>
      </c>
      <c r="G21" s="35" t="s">
        <v>53</v>
      </c>
      <c r="H21" s="37"/>
      <c r="I21" s="38"/>
    </row>
    <row r="22" ht="15.75" customHeight="1">
      <c r="A22" s="31" t="s">
        <v>56</v>
      </c>
      <c r="B22" s="33">
        <f t="shared" si="2"/>
        <v>1.18125</v>
      </c>
      <c r="C22" s="31">
        <f>94.5/20/4</f>
        <v>1.18125</v>
      </c>
      <c r="G22" s="39">
        <v>7000.0</v>
      </c>
      <c r="H22" s="37" t="s">
        <v>8</v>
      </c>
      <c r="I22" s="38"/>
    </row>
    <row r="23" ht="15.75" customHeight="1">
      <c r="A23" s="31" t="s">
        <v>57</v>
      </c>
      <c r="B23" s="33">
        <f t="shared" si="2"/>
        <v>1.19</v>
      </c>
      <c r="C23" s="31">
        <f>0.05*(119/5)</f>
        <v>1.19</v>
      </c>
      <c r="G23" s="12">
        <v>2500.0</v>
      </c>
      <c r="H23" s="40" t="s">
        <v>12</v>
      </c>
      <c r="I23" s="42"/>
    </row>
    <row r="24" ht="15.75" customHeight="1">
      <c r="A24" s="31" t="s">
        <v>62</v>
      </c>
      <c r="B24" s="33">
        <f t="shared" si="2"/>
        <v>1.185714286</v>
      </c>
      <c r="C24" s="31">
        <f>(83/2)/35</f>
        <v>1.185714286</v>
      </c>
      <c r="G24" s="43">
        <v>99.0</v>
      </c>
      <c r="H24" s="40" t="s">
        <v>16</v>
      </c>
      <c r="I24" s="42"/>
    </row>
    <row r="25" ht="15.75" customHeight="1">
      <c r="A25" s="7" t="s">
        <v>63</v>
      </c>
      <c r="B25" s="9">
        <f t="shared" si="2"/>
        <v>0.09583333333</v>
      </c>
      <c r="C25" s="7">
        <f>1.15/12</f>
        <v>0.09583333333</v>
      </c>
      <c r="G25" s="43">
        <v>399.0</v>
      </c>
      <c r="H25" s="40" t="s">
        <v>19</v>
      </c>
      <c r="I25" s="42"/>
    </row>
    <row r="26" ht="15.75" customHeight="1">
      <c r="A26" s="7" t="s">
        <v>64</v>
      </c>
      <c r="B26" s="9">
        <f t="shared" si="2"/>
        <v>0.4679</v>
      </c>
      <c r="C26" s="7">
        <f>46.79/100</f>
        <v>0.4679</v>
      </c>
      <c r="G26" s="21">
        <v>800.0</v>
      </c>
      <c r="H26" s="47" t="s">
        <v>26</v>
      </c>
      <c r="I26" s="49"/>
    </row>
    <row r="27" ht="15.75" customHeight="1">
      <c r="A27" s="7" t="s">
        <v>66</v>
      </c>
      <c r="B27" s="9">
        <f t="shared" si="2"/>
        <v>2.1175</v>
      </c>
      <c r="C27" s="7">
        <f>84.7/40</f>
        <v>2.1175</v>
      </c>
      <c r="G27" s="43"/>
      <c r="H27" s="40"/>
      <c r="I27" s="42"/>
    </row>
    <row r="28" ht="15.75" customHeight="1">
      <c r="A28" s="7"/>
      <c r="B28" s="9"/>
      <c r="C28" s="7"/>
      <c r="G28" s="51">
        <f>SUM(G22:G26)</f>
        <v>10798</v>
      </c>
      <c r="H28" s="47" t="s">
        <v>32</v>
      </c>
      <c r="I28" s="49"/>
    </row>
    <row r="29" ht="15.75" customHeight="1">
      <c r="A29" s="7" t="s">
        <v>70</v>
      </c>
      <c r="B29" s="9">
        <f t="shared" ref="B29:B36" si="3">C29</f>
        <v>0.01964285714</v>
      </c>
      <c r="C29" s="7">
        <f>(5.5/140)/2</f>
        <v>0.01964285714</v>
      </c>
      <c r="G29" s="52"/>
      <c r="H29" s="40"/>
      <c r="I29" s="42"/>
    </row>
    <row r="30" ht="15.75" customHeight="1">
      <c r="A30" s="41" t="s">
        <v>74</v>
      </c>
      <c r="B30" s="53">
        <f t="shared" si="3"/>
        <v>0.0225</v>
      </c>
      <c r="C30" s="41">
        <f>4.5/200</f>
        <v>0.0225</v>
      </c>
      <c r="G30" s="52">
        <v>8.0</v>
      </c>
      <c r="H30" s="40" t="s">
        <v>36</v>
      </c>
      <c r="I30" s="42"/>
    </row>
    <row r="31" ht="15.75" customHeight="1">
      <c r="A31" s="41" t="s">
        <v>75</v>
      </c>
      <c r="B31" s="53">
        <f t="shared" si="3"/>
        <v>0.055</v>
      </c>
      <c r="C31" s="41">
        <f>5.5/200*2</f>
        <v>0.055</v>
      </c>
      <c r="G31" s="52"/>
      <c r="H31" s="40"/>
      <c r="I31" s="42"/>
    </row>
    <row r="32" ht="15.75" customHeight="1">
      <c r="A32" s="41" t="s">
        <v>76</v>
      </c>
      <c r="B32" s="53">
        <f t="shared" si="3"/>
        <v>0.01995</v>
      </c>
      <c r="C32" s="41">
        <f>3.99/200</f>
        <v>0.01995</v>
      </c>
      <c r="G32" s="52">
        <v>16.0</v>
      </c>
      <c r="H32" s="40" t="s">
        <v>42</v>
      </c>
      <c r="I32" s="42"/>
    </row>
    <row r="33" ht="15.75" customHeight="1">
      <c r="A33" s="41" t="s">
        <v>77</v>
      </c>
      <c r="B33" s="53">
        <f t="shared" si="3"/>
        <v>0.05735</v>
      </c>
      <c r="C33" s="41">
        <f>11.47/200</f>
        <v>0.05735</v>
      </c>
      <c r="G33" s="52"/>
      <c r="H33" s="40"/>
      <c r="I33" s="42"/>
    </row>
    <row r="34" ht="15.75" customHeight="1">
      <c r="A34" s="41" t="s">
        <v>78</v>
      </c>
      <c r="B34" s="53">
        <f t="shared" si="3"/>
        <v>0.215</v>
      </c>
      <c r="C34" s="41">
        <f>(21.5/100)</f>
        <v>0.215</v>
      </c>
      <c r="G34" s="52">
        <v>4.0</v>
      </c>
      <c r="H34" s="40" t="s">
        <v>45</v>
      </c>
      <c r="I34" s="42"/>
    </row>
    <row r="35" ht="15.75" customHeight="1">
      <c r="A35" s="41" t="s">
        <v>79</v>
      </c>
      <c r="B35" s="53">
        <f t="shared" si="3"/>
        <v>0.100625</v>
      </c>
      <c r="C35" s="41">
        <f>(8.05/160)*2</f>
        <v>0.100625</v>
      </c>
      <c r="G35" s="57"/>
      <c r="H35" s="40"/>
      <c r="I35" s="42"/>
    </row>
    <row r="36" ht="15.75" customHeight="1">
      <c r="A36" s="41" t="s">
        <v>80</v>
      </c>
      <c r="B36" s="53">
        <f t="shared" si="3"/>
        <v>0.0503125</v>
      </c>
      <c r="C36" s="41">
        <f>(8.05/160)</f>
        <v>0.0503125</v>
      </c>
      <c r="G36" s="58">
        <f>(G28/G32)/G30/G34</f>
        <v>21.08984375</v>
      </c>
      <c r="H36" s="47" t="s">
        <v>51</v>
      </c>
      <c r="I36" s="49"/>
    </row>
    <row r="37" ht="15.75" customHeight="1">
      <c r="G37" s="59" t="s">
        <v>82</v>
      </c>
      <c r="H37" s="60"/>
      <c r="I37" s="61"/>
    </row>
    <row r="38" ht="15.75" customHeight="1">
      <c r="G38" s="62">
        <v>2000.0</v>
      </c>
      <c r="H38" s="60" t="s">
        <v>8</v>
      </c>
      <c r="I38" s="61"/>
    </row>
    <row r="39" ht="15.75" customHeight="1">
      <c r="G39" s="12">
        <v>2500.0</v>
      </c>
      <c r="H39" s="63" t="s">
        <v>12</v>
      </c>
      <c r="I39" s="64"/>
    </row>
    <row r="40" ht="15.75" customHeight="1">
      <c r="G40" s="65">
        <v>99.0</v>
      </c>
      <c r="H40" s="63" t="s">
        <v>16</v>
      </c>
      <c r="I40" s="64"/>
    </row>
    <row r="41" ht="15.75" customHeight="1">
      <c r="G41" s="65">
        <v>399.0</v>
      </c>
      <c r="H41" s="63" t="s">
        <v>19</v>
      </c>
      <c r="I41" s="64"/>
    </row>
    <row r="42" ht="15.75" customHeight="1">
      <c r="G42" s="21">
        <v>400.0</v>
      </c>
      <c r="H42" s="66" t="s">
        <v>26</v>
      </c>
      <c r="I42" s="67"/>
    </row>
    <row r="43" ht="15.75" customHeight="1">
      <c r="A43" s="68" t="s">
        <v>88</v>
      </c>
      <c r="B43" s="69">
        <v>75.0</v>
      </c>
      <c r="C43" s="70"/>
      <c r="G43" s="65"/>
      <c r="H43" s="63"/>
      <c r="I43" s="64"/>
    </row>
    <row r="44" ht="15.75" customHeight="1">
      <c r="A44" s="70" t="s">
        <v>91</v>
      </c>
      <c r="B44" s="73">
        <f>0.285*B43</f>
        <v>21.375</v>
      </c>
      <c r="C44" s="74">
        <f>B44/B43</f>
        <v>0.285</v>
      </c>
      <c r="G44" s="76">
        <f>SUM(G38:G42)</f>
        <v>5398</v>
      </c>
      <c r="H44" s="66" t="s">
        <v>32</v>
      </c>
      <c r="I44" s="67"/>
    </row>
    <row r="45" ht="15.75" customHeight="1">
      <c r="A45" s="7" t="s">
        <v>97</v>
      </c>
      <c r="B45" s="9">
        <f>0.66666*G20</f>
        <v>29.00953896</v>
      </c>
      <c r="C45" s="81">
        <f>B45/B43</f>
        <v>0.3867938528</v>
      </c>
      <c r="G45" s="83"/>
      <c r="H45" s="63"/>
      <c r="I45" s="64"/>
    </row>
    <row r="46" ht="15.75" customHeight="1">
      <c r="A46" s="7" t="s">
        <v>104</v>
      </c>
      <c r="B46" s="9">
        <v>12.67</v>
      </c>
      <c r="C46" s="81">
        <f>B46/B43</f>
        <v>0.1689333333</v>
      </c>
      <c r="G46" s="83">
        <v>8.0</v>
      </c>
      <c r="H46" s="63" t="s">
        <v>36</v>
      </c>
      <c r="I46" s="64"/>
    </row>
    <row r="47" ht="15.75" customHeight="1">
      <c r="A47" s="4" t="s">
        <v>106</v>
      </c>
      <c r="B47" s="1">
        <f>B4</f>
        <v>9.39553631</v>
      </c>
      <c r="C47" s="87">
        <f>B47/B43</f>
        <v>0.1252738175</v>
      </c>
      <c r="G47" s="83"/>
      <c r="H47" s="63"/>
      <c r="I47" s="64"/>
    </row>
    <row r="48" ht="15.75" customHeight="1">
      <c r="A48" s="89" t="s">
        <v>108</v>
      </c>
      <c r="B48" s="93">
        <f>B43-SUM(B44:B47)</f>
        <v>2.549924729</v>
      </c>
      <c r="C48" s="95">
        <f>B48/B43</f>
        <v>0.03399899639</v>
      </c>
      <c r="D48" s="4"/>
      <c r="G48" s="83">
        <v>16.0</v>
      </c>
      <c r="H48" s="63" t="s">
        <v>42</v>
      </c>
      <c r="I48" s="64"/>
    </row>
    <row r="49" ht="15.75" customHeight="1">
      <c r="G49" s="83"/>
      <c r="H49" s="63"/>
      <c r="I49" s="64"/>
    </row>
    <row r="50" ht="15.75" customHeight="1">
      <c r="G50" s="83">
        <v>3.0</v>
      </c>
      <c r="H50" s="63" t="s">
        <v>45</v>
      </c>
      <c r="I50" s="64"/>
    </row>
    <row r="51" ht="15.75" customHeight="1">
      <c r="A51" s="68" t="s">
        <v>109</v>
      </c>
      <c r="B51" s="69">
        <v>59.0</v>
      </c>
      <c r="C51" s="70"/>
      <c r="G51" s="98"/>
      <c r="H51" s="63"/>
      <c r="I51" s="64"/>
    </row>
    <row r="52" ht="15.75" customHeight="1">
      <c r="A52" s="70" t="s">
        <v>91</v>
      </c>
      <c r="B52" s="73">
        <f>0.285*B51</f>
        <v>16.815</v>
      </c>
      <c r="C52" s="74">
        <f>B52/B51</f>
        <v>0.285</v>
      </c>
      <c r="G52" s="103">
        <f>(G44/G48)/G46/G50</f>
        <v>14.05729167</v>
      </c>
      <c r="H52" s="66" t="s">
        <v>51</v>
      </c>
      <c r="I52" s="67"/>
    </row>
    <row r="53" ht="15.75" customHeight="1">
      <c r="A53" s="7" t="s">
        <v>105</v>
      </c>
      <c r="B53" s="9">
        <f>0.5*G20</f>
        <v>21.75737179</v>
      </c>
      <c r="C53" s="81">
        <f>B52:B53/B51</f>
        <v>0.3687690135</v>
      </c>
    </row>
    <row r="54" ht="15.75" customHeight="1">
      <c r="A54" s="7" t="s">
        <v>107</v>
      </c>
      <c r="B54" s="9"/>
      <c r="C54" s="81">
        <f>B53:B54/B51</f>
        <v>0</v>
      </c>
    </row>
    <row r="55" ht="15.75" customHeight="1">
      <c r="A55" s="4" t="s">
        <v>106</v>
      </c>
      <c r="B55" s="1">
        <f>B47</f>
        <v>9.39553631</v>
      </c>
      <c r="C55" s="87">
        <f>B54:B55/B51</f>
        <v>0.1592463781</v>
      </c>
    </row>
    <row r="56" ht="15.75" customHeight="1">
      <c r="A56" s="89" t="s">
        <v>108</v>
      </c>
      <c r="B56" s="93">
        <f>B51-SUM(B52:B55)</f>
        <v>11.0320919</v>
      </c>
      <c r="C56" s="95">
        <f>B55/B51</f>
        <v>0.1592463781</v>
      </c>
    </row>
    <row r="57" ht="15.75" customHeight="1"/>
    <row r="58" ht="15.75" customHeight="1"/>
    <row r="59" ht="15.75" customHeight="1"/>
    <row r="60" ht="15.75" customHeight="1"/>
    <row r="61" ht="15.75" customHeight="1">
      <c r="A61" s="68" t="s">
        <v>110</v>
      </c>
      <c r="B61" s="69">
        <v>87.0</v>
      </c>
      <c r="C61" s="70"/>
    </row>
    <row r="62" ht="15.75" customHeight="1">
      <c r="A62" s="70" t="s">
        <v>91</v>
      </c>
      <c r="B62" s="73">
        <f>0.285*B61</f>
        <v>24.795</v>
      </c>
      <c r="C62" s="74">
        <f>B62/B61</f>
        <v>0.285</v>
      </c>
    </row>
    <row r="63" ht="15.75" customHeight="1">
      <c r="A63" s="7" t="s">
        <v>111</v>
      </c>
      <c r="B63" s="9">
        <v>10.25</v>
      </c>
      <c r="C63" s="81">
        <f>B62:B63/B61</f>
        <v>0.117816092</v>
      </c>
    </row>
    <row r="64" ht="15.75" customHeight="1">
      <c r="A64" s="7" t="s">
        <v>112</v>
      </c>
      <c r="B64" s="9">
        <v>15.2</v>
      </c>
      <c r="C64" s="81">
        <f>B63:B64/B61</f>
        <v>0.1747126437</v>
      </c>
    </row>
    <row r="65" ht="15.75" customHeight="1">
      <c r="A65" s="4" t="s">
        <v>106</v>
      </c>
      <c r="B65" s="1">
        <f>B55</f>
        <v>9.39553631</v>
      </c>
      <c r="C65" s="87">
        <f>B64:B65/B61</f>
        <v>0.1079946702</v>
      </c>
    </row>
    <row r="66" ht="15.75" customHeight="1">
      <c r="A66" s="89" t="s">
        <v>108</v>
      </c>
      <c r="B66" s="93">
        <f>B61-SUM(B62:B65)</f>
        <v>27.35946369</v>
      </c>
      <c r="C66" s="95">
        <f>B66/B61</f>
        <v>0.3144765941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